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18900" windowHeight="9240"/>
  </bookViews>
  <sheets>
    <sheet name="Sheet1" sheetId="1" r:id="rId1"/>
  </sheets>
  <definedNames>
    <definedName name="SSLink0">Sheet1!$G$46</definedName>
    <definedName name="SSLink1">Sheet1!$E$123</definedName>
    <definedName name="SSLink10">Sheet1!$H$3:$J$3</definedName>
    <definedName name="SSLink11">Sheet1!$1:$2</definedName>
    <definedName name="SSLink12">Sheet1!$K$123</definedName>
    <definedName name="SSLink2">Sheet1!$D$47</definedName>
    <definedName name="SSLink3">Sheet1!$G$15</definedName>
    <definedName name="SSLink4">Sheet1!$B$17</definedName>
    <definedName name="SSLink5">Sheet1!$B$41</definedName>
    <definedName name="SSLink6">Sheet1!$G$120</definedName>
    <definedName name="SSLink7">Sheet1!$1:$1</definedName>
    <definedName name="SSLink8">Sheet1!$H$27:$J$27</definedName>
    <definedName name="SSLink9">Sheet1!$H$125:$J$125</definedName>
  </definedNames>
  <calcPr calcId="145621"/>
</workbook>
</file>

<file path=xl/calcChain.xml><?xml version="1.0" encoding="utf-8"?>
<calcChain xmlns="http://schemas.openxmlformats.org/spreadsheetml/2006/main">
  <c r="K114" i="1" l="1"/>
  <c r="M123" i="1" l="1"/>
  <c r="L123" i="1"/>
  <c r="K123" i="1"/>
  <c r="Q4" i="1"/>
  <c r="Q5" i="1" s="1"/>
  <c r="Q6" i="1" s="1"/>
  <c r="Q7" i="1" s="1"/>
  <c r="Q8" i="1" s="1"/>
  <c r="Q9" i="1" s="1"/>
  <c r="Q10" i="1" s="1"/>
  <c r="F14" i="1" l="1"/>
  <c r="D49" i="1" l="1"/>
  <c r="G49" i="1" s="1"/>
  <c r="F49" i="1"/>
  <c r="F26" i="1"/>
  <c r="F73" i="1"/>
  <c r="D73" i="1"/>
  <c r="D26" i="1"/>
  <c r="F89" i="1"/>
  <c r="F110" i="1"/>
  <c r="D110" i="1"/>
  <c r="G110" i="1" s="1"/>
  <c r="F52" i="1"/>
  <c r="D52" i="1"/>
  <c r="G52" i="1" s="1"/>
  <c r="F90" i="1"/>
  <c r="D90" i="1"/>
  <c r="L90" i="1" s="1"/>
  <c r="F94" i="1"/>
  <c r="D94" i="1"/>
  <c r="M94" i="1" s="1"/>
  <c r="F79" i="1"/>
  <c r="D79" i="1"/>
  <c r="K79" i="1" s="1"/>
  <c r="F67" i="1"/>
  <c r="D67" i="1"/>
  <c r="G67" i="1" s="1"/>
  <c r="F114" i="1"/>
  <c r="D114" i="1"/>
  <c r="L114" i="1" s="1"/>
  <c r="G90" i="1" l="1"/>
  <c r="G79" i="1"/>
  <c r="M26" i="1"/>
  <c r="L26" i="1"/>
  <c r="K26" i="1"/>
  <c r="G94" i="1"/>
  <c r="G73" i="1"/>
  <c r="M73" i="1"/>
  <c r="L73" i="1"/>
  <c r="K73" i="1"/>
  <c r="M110" i="1"/>
  <c r="L94" i="1"/>
  <c r="L110" i="1"/>
  <c r="K110" i="1"/>
  <c r="K94" i="1"/>
  <c r="G26" i="1"/>
  <c r="L52" i="1"/>
  <c r="L49" i="1"/>
  <c r="M49" i="1"/>
  <c r="K49" i="1"/>
  <c r="K52" i="1"/>
  <c r="K90" i="1"/>
  <c r="M79" i="1"/>
  <c r="L79" i="1"/>
  <c r="M90" i="1"/>
  <c r="M52" i="1"/>
  <c r="K67" i="1"/>
  <c r="M114" i="1"/>
  <c r="N114" i="1" s="1"/>
  <c r="L67" i="1"/>
  <c r="M67" i="1"/>
  <c r="G114" i="1"/>
  <c r="F104" i="1"/>
  <c r="D104" i="1"/>
  <c r="L104" i="1" s="1"/>
  <c r="G104" i="1"/>
  <c r="D113" i="1"/>
  <c r="K113" i="1" s="1"/>
  <c r="F113" i="1"/>
  <c r="F54" i="1"/>
  <c r="D54" i="1"/>
  <c r="K54" i="1" s="1"/>
  <c r="F75" i="1"/>
  <c r="D75" i="1"/>
  <c r="G75" i="1" s="1"/>
  <c r="N79" i="1" l="1"/>
  <c r="N90" i="1"/>
  <c r="N94" i="1"/>
  <c r="N49" i="1"/>
  <c r="G54" i="1"/>
  <c r="N73" i="1"/>
  <c r="N52" i="1"/>
  <c r="N110" i="1"/>
  <c r="N26" i="1"/>
  <c r="G113" i="1"/>
  <c r="N67" i="1"/>
  <c r="M75" i="1"/>
  <c r="K104" i="1"/>
  <c r="M54" i="1"/>
  <c r="L54" i="1"/>
  <c r="L75" i="1"/>
  <c r="K75" i="1"/>
  <c r="M104" i="1"/>
  <c r="M113" i="1"/>
  <c r="L113" i="1"/>
  <c r="F95" i="1"/>
  <c r="D95" i="1"/>
  <c r="K95" i="1" s="1"/>
  <c r="G95" i="1"/>
  <c r="F69" i="1"/>
  <c r="D69" i="1"/>
  <c r="L69" i="1" s="1"/>
  <c r="F83" i="1"/>
  <c r="D83" i="1"/>
  <c r="L83" i="1" s="1"/>
  <c r="F57" i="1"/>
  <c r="G57" i="1" s="1"/>
  <c r="D57" i="1"/>
  <c r="K57" i="1" s="1"/>
  <c r="F62" i="1"/>
  <c r="G62" i="1" s="1"/>
  <c r="D62" i="1"/>
  <c r="M62" i="1" s="1"/>
  <c r="F8" i="1"/>
  <c r="F21" i="1"/>
  <c r="F86" i="1"/>
  <c r="G86" i="1" s="1"/>
  <c r="D86" i="1"/>
  <c r="M86" i="1" s="1"/>
  <c r="F38" i="1"/>
  <c r="D38" i="1"/>
  <c r="L38" i="1" s="1"/>
  <c r="L62" i="1" l="1"/>
  <c r="K62" i="1"/>
  <c r="G38" i="1"/>
  <c r="K69" i="1"/>
  <c r="N75" i="1"/>
  <c r="G83" i="1"/>
  <c r="L95" i="1"/>
  <c r="N54" i="1"/>
  <c r="M95" i="1"/>
  <c r="K83" i="1"/>
  <c r="K38" i="1"/>
  <c r="M83" i="1"/>
  <c r="L86" i="1"/>
  <c r="G69" i="1"/>
  <c r="M57" i="1"/>
  <c r="K86" i="1"/>
  <c r="L57" i="1"/>
  <c r="M38" i="1"/>
  <c r="M69" i="1"/>
  <c r="N104" i="1"/>
  <c r="N113" i="1"/>
  <c r="N83" i="1" l="1"/>
  <c r="N62" i="1"/>
  <c r="N95" i="1"/>
  <c r="N69" i="1"/>
  <c r="N38" i="1"/>
  <c r="N86" i="1"/>
  <c r="N57" i="1"/>
  <c r="F109" i="1"/>
  <c r="D109" i="1"/>
  <c r="M109" i="1" s="1"/>
  <c r="K109" i="1" l="1"/>
  <c r="G109" i="1"/>
  <c r="L109" i="1"/>
  <c r="M122" i="1"/>
  <c r="L122" i="1"/>
  <c r="K122" i="1"/>
  <c r="B121" i="1"/>
  <c r="N109" i="1" l="1"/>
  <c r="D14" i="1"/>
  <c r="F103" i="1"/>
  <c r="D103" i="1"/>
  <c r="G103" i="1" s="1"/>
  <c r="F15" i="1"/>
  <c r="D15" i="1"/>
  <c r="G15" i="1" s="1"/>
  <c r="F29" i="1"/>
  <c r="F92" i="1"/>
  <c r="D92" i="1"/>
  <c r="K92" i="1" s="1"/>
  <c r="D29" i="1"/>
  <c r="K29" i="1" s="1"/>
  <c r="M14" i="1" l="1"/>
  <c r="G14" i="1"/>
  <c r="G29" i="1"/>
  <c r="L103" i="1"/>
  <c r="M29" i="1"/>
  <c r="L29" i="1"/>
  <c r="K103" i="1"/>
  <c r="M103" i="1"/>
  <c r="K15" i="1"/>
  <c r="L15" i="1"/>
  <c r="M15" i="1"/>
  <c r="L14" i="1"/>
  <c r="K14" i="1"/>
  <c r="M92" i="1"/>
  <c r="G92" i="1"/>
  <c r="L92" i="1"/>
  <c r="D45" i="1"/>
  <c r="G45" i="1" s="1"/>
  <c r="F91" i="1"/>
  <c r="F45" i="1"/>
  <c r="D91" i="1"/>
  <c r="G91" i="1" s="1"/>
  <c r="N29" i="1" l="1"/>
  <c r="N103" i="1"/>
  <c r="N15" i="1"/>
  <c r="N14" i="1"/>
  <c r="N92" i="1"/>
  <c r="L91" i="1"/>
  <c r="M91" i="1"/>
  <c r="K91" i="1"/>
  <c r="K45" i="1"/>
  <c r="L45" i="1"/>
  <c r="M45" i="1"/>
  <c r="F71" i="1"/>
  <c r="D71" i="1"/>
  <c r="L71" i="1" s="1"/>
  <c r="F64" i="1"/>
  <c r="D64" i="1"/>
  <c r="K64" i="1" s="1"/>
  <c r="F81" i="1"/>
  <c r="D81" i="1"/>
  <c r="M81" i="1" s="1"/>
  <c r="F41" i="1"/>
  <c r="D41" i="1"/>
  <c r="M41" i="1" s="1"/>
  <c r="F80" i="1"/>
  <c r="D80" i="1"/>
  <c r="K80" i="1" s="1"/>
  <c r="F48" i="1"/>
  <c r="D48" i="1"/>
  <c r="L48" i="1" s="1"/>
  <c r="F93" i="1"/>
  <c r="D93" i="1"/>
  <c r="K93" i="1" s="1"/>
  <c r="F96" i="1"/>
  <c r="D96" i="1"/>
  <c r="M96" i="1" s="1"/>
  <c r="G41" i="1" l="1"/>
  <c r="G81" i="1"/>
  <c r="G48" i="1"/>
  <c r="G80" i="1"/>
  <c r="G93" i="1"/>
  <c r="L41" i="1"/>
  <c r="G96" i="1"/>
  <c r="K48" i="1"/>
  <c r="M71" i="1"/>
  <c r="M48" i="1"/>
  <c r="K41" i="1"/>
  <c r="M80" i="1"/>
  <c r="L80" i="1"/>
  <c r="M64" i="1"/>
  <c r="M93" i="1"/>
  <c r="L64" i="1"/>
  <c r="L93" i="1"/>
  <c r="K81" i="1"/>
  <c r="K96" i="1"/>
  <c r="L81" i="1"/>
  <c r="L96" i="1"/>
  <c r="N45" i="1"/>
  <c r="G64" i="1"/>
  <c r="N91" i="1"/>
  <c r="K71" i="1"/>
  <c r="G71" i="1"/>
  <c r="F105" i="1"/>
  <c r="D105" i="1"/>
  <c r="K105" i="1" s="1"/>
  <c r="F97" i="1"/>
  <c r="D97" i="1"/>
  <c r="M97" i="1" s="1"/>
  <c r="D116" i="1"/>
  <c r="G116" i="1" s="1"/>
  <c r="F116" i="1"/>
  <c r="F40" i="1"/>
  <c r="D40" i="1"/>
  <c r="G40" i="1" s="1"/>
  <c r="F98" i="1"/>
  <c r="D98" i="1"/>
  <c r="M98" i="1" s="1"/>
  <c r="F66" i="1"/>
  <c r="D66" i="1"/>
  <c r="G66" i="1" s="1"/>
  <c r="F115" i="1"/>
  <c r="D115" i="1"/>
  <c r="G115" i="1" s="1"/>
  <c r="F44" i="1"/>
  <c r="D44" i="1"/>
  <c r="G44" i="1" s="1"/>
  <c r="F101" i="1"/>
  <c r="D101" i="1"/>
  <c r="G101" i="1" s="1"/>
  <c r="F59" i="1"/>
  <c r="D59" i="1"/>
  <c r="G59" i="1" s="1"/>
  <c r="F42" i="1"/>
  <c r="D42" i="1"/>
  <c r="G42" i="1" s="1"/>
  <c r="F108" i="1"/>
  <c r="D108" i="1"/>
  <c r="G108" i="1" s="1"/>
  <c r="G97" i="1" l="1"/>
  <c r="N81" i="1"/>
  <c r="G105" i="1"/>
  <c r="G98" i="1"/>
  <c r="M40" i="1"/>
  <c r="K40" i="1"/>
  <c r="L40" i="1"/>
  <c r="N41" i="1"/>
  <c r="N48" i="1"/>
  <c r="N96" i="1"/>
  <c r="N71" i="1"/>
  <c r="L66" i="1"/>
  <c r="M116" i="1"/>
  <c r="M66" i="1"/>
  <c r="L116" i="1"/>
  <c r="N64" i="1"/>
  <c r="N93" i="1"/>
  <c r="N80" i="1"/>
  <c r="M105" i="1"/>
  <c r="L105" i="1"/>
  <c r="K66" i="1"/>
  <c r="K97" i="1"/>
  <c r="L97" i="1"/>
  <c r="K116" i="1"/>
  <c r="L98" i="1"/>
  <c r="K98" i="1"/>
  <c r="D70" i="1"/>
  <c r="K70" i="1" s="1"/>
  <c r="F70" i="1"/>
  <c r="D111" i="1"/>
  <c r="M111" i="1" s="1"/>
  <c r="F111" i="1"/>
  <c r="K108" i="1"/>
  <c r="L108" i="1"/>
  <c r="M108" i="1"/>
  <c r="K42" i="1"/>
  <c r="L42" i="1"/>
  <c r="M42" i="1"/>
  <c r="K59" i="1"/>
  <c r="L59" i="1"/>
  <c r="M59" i="1"/>
  <c r="K101" i="1"/>
  <c r="L101" i="1"/>
  <c r="M101" i="1"/>
  <c r="K44" i="1"/>
  <c r="L44" i="1"/>
  <c r="M44" i="1"/>
  <c r="K115" i="1"/>
  <c r="L115" i="1"/>
  <c r="M115" i="1"/>
  <c r="F17" i="1"/>
  <c r="D17" i="1"/>
  <c r="L17" i="1" s="1"/>
  <c r="F56" i="1"/>
  <c r="D56" i="1"/>
  <c r="G56" i="1" s="1"/>
  <c r="D60" i="1"/>
  <c r="G60" i="1" s="1"/>
  <c r="F60" i="1"/>
  <c r="D88" i="1"/>
  <c r="G88" i="1" s="1"/>
  <c r="F88" i="1"/>
  <c r="F61" i="1"/>
  <c r="D61" i="1"/>
  <c r="G61" i="1" s="1"/>
  <c r="D43" i="1"/>
  <c r="G43" i="1" s="1"/>
  <c r="F43" i="1"/>
  <c r="D106" i="1"/>
  <c r="G106" i="1" s="1"/>
  <c r="F106" i="1"/>
  <c r="D107" i="1"/>
  <c r="G107" i="1" s="1"/>
  <c r="F107" i="1"/>
  <c r="N40" i="1" l="1"/>
  <c r="N105" i="1"/>
  <c r="N97" i="1"/>
  <c r="N44" i="1"/>
  <c r="N66" i="1"/>
  <c r="N116" i="1"/>
  <c r="N101" i="1"/>
  <c r="L111" i="1"/>
  <c r="N98" i="1"/>
  <c r="K111" i="1"/>
  <c r="N59" i="1"/>
  <c r="G111" i="1"/>
  <c r="N115" i="1"/>
  <c r="N42" i="1"/>
  <c r="N108" i="1"/>
  <c r="G70" i="1"/>
  <c r="M70" i="1"/>
  <c r="L70" i="1"/>
  <c r="K17" i="1"/>
  <c r="M17" i="1"/>
  <c r="G17" i="1"/>
  <c r="F33" i="1"/>
  <c r="F100" i="1"/>
  <c r="F112" i="1"/>
  <c r="F74" i="1"/>
  <c r="F68" i="1"/>
  <c r="F102" i="1"/>
  <c r="F22" i="1"/>
  <c r="D22" i="1"/>
  <c r="K22" i="1" s="1"/>
  <c r="D102" i="1"/>
  <c r="K102" i="1" s="1"/>
  <c r="D68" i="1"/>
  <c r="K68" i="1" s="1"/>
  <c r="K107" i="1"/>
  <c r="L107" i="1"/>
  <c r="M107" i="1"/>
  <c r="K106" i="1"/>
  <c r="L106" i="1"/>
  <c r="M106" i="1"/>
  <c r="K43" i="1"/>
  <c r="L43" i="1"/>
  <c r="M43" i="1"/>
  <c r="K61" i="1"/>
  <c r="L61" i="1"/>
  <c r="M61" i="1"/>
  <c r="K88" i="1"/>
  <c r="L88" i="1"/>
  <c r="M88" i="1"/>
  <c r="K60" i="1"/>
  <c r="L60" i="1"/>
  <c r="M60" i="1"/>
  <c r="K56" i="1"/>
  <c r="L56" i="1"/>
  <c r="M56" i="1"/>
  <c r="L68" i="1" l="1"/>
  <c r="N17" i="1"/>
  <c r="N61" i="1"/>
  <c r="M68" i="1"/>
  <c r="N68" i="1" s="1"/>
  <c r="N111" i="1"/>
  <c r="N88" i="1"/>
  <c r="N107" i="1"/>
  <c r="N70" i="1"/>
  <c r="N60" i="1"/>
  <c r="N106" i="1"/>
  <c r="G68" i="1"/>
  <c r="G22" i="1"/>
  <c r="G102" i="1"/>
  <c r="N43" i="1"/>
  <c r="N56" i="1"/>
  <c r="M22" i="1"/>
  <c r="L22" i="1"/>
  <c r="M102" i="1"/>
  <c r="L102" i="1"/>
  <c r="D33" i="1"/>
  <c r="D100" i="1"/>
  <c r="D112" i="1"/>
  <c r="D74" i="1"/>
  <c r="D89" i="1"/>
  <c r="G89" i="1" s="1"/>
  <c r="M74" i="1" l="1"/>
  <c r="G74" i="1"/>
  <c r="M112" i="1"/>
  <c r="G112" i="1"/>
  <c r="M100" i="1"/>
  <c r="G100" i="1"/>
  <c r="M33" i="1"/>
  <c r="G33" i="1"/>
  <c r="K112" i="1"/>
  <c r="N102" i="1"/>
  <c r="N22" i="1"/>
  <c r="L100" i="1"/>
  <c r="K100" i="1"/>
  <c r="K74" i="1"/>
  <c r="L74" i="1"/>
  <c r="L112" i="1"/>
  <c r="L33" i="1"/>
  <c r="K33" i="1"/>
  <c r="L89" i="1"/>
  <c r="M89" i="1"/>
  <c r="N74" i="1" l="1"/>
  <c r="N112" i="1"/>
  <c r="N33" i="1"/>
  <c r="N100" i="1"/>
  <c r="K89" i="1"/>
  <c r="N89" i="1" s="1"/>
  <c r="E125" i="1"/>
  <c r="F4" i="1" l="1"/>
  <c r="F5" i="1"/>
  <c r="F6" i="1"/>
  <c r="F9" i="1"/>
  <c r="F10" i="1"/>
  <c r="F12" i="1"/>
  <c r="F11" i="1"/>
  <c r="F16" i="1"/>
  <c r="F13" i="1"/>
  <c r="F19" i="1"/>
  <c r="F18" i="1"/>
  <c r="F23" i="1"/>
  <c r="F7" i="1"/>
  <c r="F24" i="1"/>
  <c r="F20" i="1"/>
  <c r="F32" i="1"/>
  <c r="F28" i="1"/>
  <c r="F30" i="1"/>
  <c r="F25" i="1"/>
  <c r="F27" i="1"/>
  <c r="F31" i="1"/>
  <c r="F37" i="1"/>
  <c r="F35" i="1"/>
  <c r="F39" i="1"/>
  <c r="F34" i="1"/>
  <c r="F36" i="1"/>
  <c r="F55" i="1"/>
  <c r="F47" i="1"/>
  <c r="F46" i="1"/>
  <c r="F50" i="1"/>
  <c r="F51" i="1"/>
  <c r="F53" i="1"/>
  <c r="F58" i="1"/>
  <c r="F82" i="1"/>
  <c r="F63" i="1"/>
  <c r="F72" i="1"/>
  <c r="F65" i="1"/>
  <c r="F77" i="1"/>
  <c r="F84" i="1"/>
  <c r="F78" i="1"/>
  <c r="F76" i="1"/>
  <c r="F87" i="1"/>
  <c r="F85" i="1"/>
  <c r="F99" i="1"/>
  <c r="F3" i="1"/>
  <c r="D3" i="1" l="1"/>
  <c r="G3" i="1" s="1"/>
  <c r="D4" i="1"/>
  <c r="G4" i="1" s="1"/>
  <c r="D5" i="1"/>
  <c r="D6" i="1"/>
  <c r="G6" i="1" s="1"/>
  <c r="D9" i="1"/>
  <c r="G9" i="1" s="1"/>
  <c r="D8" i="1"/>
  <c r="G8" i="1" s="1"/>
  <c r="D10" i="1"/>
  <c r="D12" i="1"/>
  <c r="M12" i="1" s="1"/>
  <c r="D11" i="1"/>
  <c r="M11" i="1" s="1"/>
  <c r="D16" i="1"/>
  <c r="G16" i="1" s="1"/>
  <c r="D13" i="1"/>
  <c r="D19" i="1"/>
  <c r="M19" i="1" s="1"/>
  <c r="D18" i="1"/>
  <c r="M18" i="1" s="1"/>
  <c r="D23" i="1"/>
  <c r="G23" i="1" s="1"/>
  <c r="D7" i="1"/>
  <c r="D24" i="1"/>
  <c r="G24" i="1" s="1"/>
  <c r="D21" i="1"/>
  <c r="D20" i="1"/>
  <c r="D32" i="1"/>
  <c r="G32" i="1" s="1"/>
  <c r="D28" i="1"/>
  <c r="D30" i="1"/>
  <c r="M30" i="1" s="1"/>
  <c r="D25" i="1"/>
  <c r="D27" i="1"/>
  <c r="G27" i="1" s="1"/>
  <c r="D31" i="1"/>
  <c r="G31" i="1" s="1"/>
  <c r="D37" i="1"/>
  <c r="G37" i="1" s="1"/>
  <c r="D35" i="1"/>
  <c r="G35" i="1" s="1"/>
  <c r="D39" i="1"/>
  <c r="D34" i="1"/>
  <c r="M34" i="1" s="1"/>
  <c r="D36" i="1"/>
  <c r="G36" i="1" s="1"/>
  <c r="D55" i="1"/>
  <c r="G55" i="1" s="1"/>
  <c r="D47" i="1"/>
  <c r="G47" i="1" s="1"/>
  <c r="D46" i="1"/>
  <c r="D50" i="1"/>
  <c r="G50" i="1" s="1"/>
  <c r="D51" i="1"/>
  <c r="G51" i="1" s="1"/>
  <c r="D53" i="1"/>
  <c r="G53" i="1" s="1"/>
  <c r="D58" i="1"/>
  <c r="L58" i="1" s="1"/>
  <c r="D82" i="1"/>
  <c r="D63" i="1"/>
  <c r="D72" i="1"/>
  <c r="D65" i="1"/>
  <c r="M65" i="1" s="1"/>
  <c r="D77" i="1"/>
  <c r="D84" i="1"/>
  <c r="G84" i="1" s="1"/>
  <c r="D78" i="1"/>
  <c r="D76" i="1"/>
  <c r="G76" i="1" s="1"/>
  <c r="D99" i="1"/>
  <c r="G99" i="1" s="1"/>
  <c r="D87" i="1"/>
  <c r="G87" i="1" s="1"/>
  <c r="D85" i="1"/>
  <c r="G85" i="1" s="1"/>
  <c r="K128" i="1"/>
  <c r="L128" i="1"/>
  <c r="M128" i="1"/>
  <c r="K129" i="1"/>
  <c r="L129" i="1"/>
  <c r="M129" i="1"/>
  <c r="M21" i="1" l="1"/>
  <c r="G21" i="1"/>
  <c r="G77" i="1"/>
  <c r="D121" i="1"/>
  <c r="L9" i="1"/>
  <c r="L3" i="1"/>
  <c r="K32" i="1"/>
  <c r="K76" i="1"/>
  <c r="K35" i="1"/>
  <c r="L47" i="1"/>
  <c r="L31" i="1"/>
  <c r="M32" i="1"/>
  <c r="L35" i="1"/>
  <c r="L32" i="1"/>
  <c r="L124" i="1"/>
  <c r="K36" i="1"/>
  <c r="M9" i="1"/>
  <c r="L16" i="1"/>
  <c r="M31" i="1"/>
  <c r="K47" i="1"/>
  <c r="M36" i="1"/>
  <c r="M84" i="1"/>
  <c r="L36" i="1"/>
  <c r="L53" i="1"/>
  <c r="M27" i="1"/>
  <c r="M77" i="1"/>
  <c r="K53" i="1"/>
  <c r="M16" i="1"/>
  <c r="K16" i="1"/>
  <c r="K72" i="1"/>
  <c r="G72" i="1"/>
  <c r="L25" i="1"/>
  <c r="G25" i="1"/>
  <c r="L10" i="1"/>
  <c r="G10" i="1"/>
  <c r="M24" i="1"/>
  <c r="M8" i="1"/>
  <c r="L87" i="1"/>
  <c r="M58" i="1"/>
  <c r="G58" i="1"/>
  <c r="K30" i="1"/>
  <c r="G30" i="1"/>
  <c r="L24" i="1"/>
  <c r="L13" i="1"/>
  <c r="G13" i="1"/>
  <c r="L8" i="1"/>
  <c r="M28" i="1"/>
  <c r="G28" i="1"/>
  <c r="K82" i="1"/>
  <c r="G82" i="1"/>
  <c r="M87" i="1"/>
  <c r="K19" i="1"/>
  <c r="G19" i="1"/>
  <c r="K87" i="1"/>
  <c r="M53" i="1"/>
  <c r="M37" i="1"/>
  <c r="L28" i="1"/>
  <c r="K24" i="1"/>
  <c r="K8" i="1"/>
  <c r="K124" i="1"/>
  <c r="L7" i="1"/>
  <c r="G7" i="1"/>
  <c r="M23" i="1"/>
  <c r="L65" i="1"/>
  <c r="G65" i="1"/>
  <c r="L23" i="1"/>
  <c r="M78" i="1"/>
  <c r="G78" i="1"/>
  <c r="M72" i="1"/>
  <c r="M50" i="1"/>
  <c r="K23" i="1"/>
  <c r="L34" i="1"/>
  <c r="G34" i="1"/>
  <c r="L20" i="1"/>
  <c r="G20" i="1"/>
  <c r="L11" i="1"/>
  <c r="G11" i="1"/>
  <c r="L5" i="1"/>
  <c r="G5" i="1"/>
  <c r="L84" i="1"/>
  <c r="L63" i="1"/>
  <c r="G63" i="1"/>
  <c r="L46" i="1"/>
  <c r="G46" i="1"/>
  <c r="K84" i="1"/>
  <c r="M82" i="1"/>
  <c r="M47" i="1"/>
  <c r="M35" i="1"/>
  <c r="L18" i="1"/>
  <c r="G18" i="1"/>
  <c r="K12" i="1"/>
  <c r="G12" i="1"/>
  <c r="M3" i="1"/>
  <c r="M4" i="1"/>
  <c r="L4" i="1"/>
  <c r="K4" i="1"/>
  <c r="M6" i="1"/>
  <c r="L50" i="1"/>
  <c r="L27" i="1"/>
  <c r="L21" i="1"/>
  <c r="L6" i="1"/>
  <c r="M76" i="1"/>
  <c r="L72" i="1"/>
  <c r="L82" i="1"/>
  <c r="K50" i="1"/>
  <c r="M46" i="1"/>
  <c r="K31" i="1"/>
  <c r="K27" i="1"/>
  <c r="L30" i="1"/>
  <c r="K21" i="1"/>
  <c r="L19" i="1"/>
  <c r="L12" i="1"/>
  <c r="K6" i="1"/>
  <c r="K3" i="1"/>
  <c r="L76" i="1"/>
  <c r="K99" i="1"/>
  <c r="L99" i="1"/>
  <c r="M99" i="1"/>
  <c r="K85" i="1"/>
  <c r="L85" i="1"/>
  <c r="M85" i="1"/>
  <c r="K55" i="1"/>
  <c r="L55" i="1"/>
  <c r="M55" i="1"/>
  <c r="M124" i="1"/>
  <c r="K63" i="1"/>
  <c r="M63" i="1"/>
  <c r="K51" i="1"/>
  <c r="L51" i="1"/>
  <c r="M51" i="1"/>
  <c r="L39" i="1"/>
  <c r="M39" i="1"/>
  <c r="K39" i="1"/>
  <c r="K78" i="1"/>
  <c r="L78" i="1"/>
  <c r="K37" i="1"/>
  <c r="L37" i="1"/>
  <c r="M25" i="1"/>
  <c r="K28" i="1"/>
  <c r="M20" i="1"/>
  <c r="M7" i="1"/>
  <c r="K18" i="1"/>
  <c r="M13" i="1"/>
  <c r="K11" i="1"/>
  <c r="M10" i="1"/>
  <c r="K9" i="1"/>
  <c r="M5" i="1"/>
  <c r="K77" i="1"/>
  <c r="L77" i="1"/>
  <c r="K65" i="1"/>
  <c r="K58" i="1"/>
  <c r="K46" i="1"/>
  <c r="K34" i="1"/>
  <c r="K25" i="1"/>
  <c r="K20" i="1"/>
  <c r="K7" i="1"/>
  <c r="K13" i="1"/>
  <c r="K10" i="1"/>
  <c r="K5" i="1"/>
  <c r="N58" i="1" l="1"/>
  <c r="N99" i="1"/>
  <c r="N63" i="1"/>
  <c r="N34" i="1"/>
  <c r="N30" i="1"/>
  <c r="N55" i="1"/>
  <c r="N35" i="1"/>
  <c r="N50" i="1"/>
  <c r="N27" i="1"/>
  <c r="N37" i="1"/>
  <c r="N28" i="1"/>
  <c r="N31" i="1"/>
  <c r="N78" i="1"/>
  <c r="N53" i="1"/>
  <c r="N65" i="1"/>
  <c r="N39" i="1"/>
  <c r="N85" i="1"/>
  <c r="N87" i="1"/>
  <c r="N84" i="1"/>
  <c r="N36" i="1"/>
  <c r="N47" i="1"/>
  <c r="N82" i="1"/>
  <c r="N76" i="1"/>
  <c r="N51" i="1"/>
  <c r="N77" i="1"/>
  <c r="N72" i="1"/>
  <c r="N46" i="1"/>
  <c r="M121" i="1"/>
  <c r="M126" i="1" s="1"/>
  <c r="L121" i="1"/>
  <c r="L126" i="1" s="1"/>
  <c r="K121" i="1"/>
  <c r="K126" i="1" s="1"/>
  <c r="N32" i="1"/>
  <c r="N21" i="1"/>
  <c r="N25" i="1"/>
  <c r="N20" i="1"/>
  <c r="N24" i="1"/>
  <c r="N23" i="1"/>
  <c r="N11" i="1"/>
  <c r="N12" i="1"/>
  <c r="N7" i="1"/>
  <c r="N9" i="1"/>
  <c r="N18" i="1"/>
  <c r="N6" i="1"/>
  <c r="N16" i="1"/>
  <c r="N8" i="1"/>
  <c r="N3" i="1"/>
  <c r="N5" i="1"/>
  <c r="N10" i="1"/>
  <c r="N13" i="1"/>
  <c r="N19" i="1"/>
  <c r="N4" i="1"/>
  <c r="E121" i="1"/>
  <c r="N121" i="1" l="1"/>
  <c r="O26" i="1" l="1"/>
  <c r="O14" i="1"/>
  <c r="O94" i="1"/>
  <c r="O25" i="1"/>
  <c r="O13" i="1"/>
  <c r="O93" i="1"/>
  <c r="O99" i="1"/>
  <c r="O17" i="1"/>
  <c r="O16" i="1"/>
  <c r="O24" i="1"/>
  <c r="O12" i="1"/>
  <c r="O23" i="1"/>
  <c r="O11" i="1"/>
  <c r="O22" i="1"/>
  <c r="O29" i="1"/>
  <c r="O18" i="1"/>
  <c r="O97" i="1"/>
  <c r="O27" i="1"/>
  <c r="O95" i="1"/>
  <c r="O21" i="1"/>
  <c r="O92" i="1"/>
  <c r="O20" i="1"/>
  <c r="O100" i="1"/>
  <c r="O98" i="1"/>
  <c r="O28" i="1"/>
  <c r="O15" i="1"/>
  <c r="O19" i="1"/>
  <c r="O96" i="1"/>
  <c r="O76" i="1"/>
  <c r="O47" i="1"/>
  <c r="O53" i="1"/>
  <c r="O4" i="1"/>
  <c r="O3" i="1"/>
  <c r="P3" i="1" s="1"/>
  <c r="O125" i="1"/>
  <c r="O123" i="1"/>
  <c r="O79" i="1"/>
  <c r="O114" i="1"/>
  <c r="O52" i="1"/>
  <c r="O73" i="1"/>
  <c r="O90" i="1"/>
  <c r="O67" i="1"/>
  <c r="O110" i="1"/>
  <c r="O49" i="1"/>
  <c r="O113" i="1"/>
  <c r="O75" i="1"/>
  <c r="O104" i="1"/>
  <c r="O54" i="1"/>
  <c r="O57" i="1"/>
  <c r="O86" i="1"/>
  <c r="O38" i="1"/>
  <c r="O69" i="1"/>
  <c r="O62" i="1"/>
  <c r="O83" i="1"/>
  <c r="O109" i="1"/>
  <c r="O103" i="1"/>
  <c r="O91" i="1"/>
  <c r="O45" i="1"/>
  <c r="O80" i="1"/>
  <c r="O64" i="1"/>
  <c r="O71" i="1"/>
  <c r="O81" i="1"/>
  <c r="O48" i="1"/>
  <c r="O41" i="1"/>
  <c r="O59" i="1"/>
  <c r="O115" i="1"/>
  <c r="O101" i="1"/>
  <c r="O116" i="1"/>
  <c r="O105" i="1"/>
  <c r="O42" i="1"/>
  <c r="O44" i="1"/>
  <c r="O66" i="1"/>
  <c r="O108" i="1"/>
  <c r="O40" i="1"/>
  <c r="O111" i="1"/>
  <c r="O43" i="1"/>
  <c r="O106" i="1"/>
  <c r="O60" i="1"/>
  <c r="O56" i="1"/>
  <c r="O68" i="1"/>
  <c r="O70" i="1"/>
  <c r="O88" i="1"/>
  <c r="O61" i="1"/>
  <c r="O107" i="1"/>
  <c r="O102" i="1"/>
  <c r="O74" i="1"/>
  <c r="O89" i="1"/>
  <c r="O112" i="1"/>
  <c r="O33" i="1"/>
  <c r="O51" i="1"/>
  <c r="O63" i="1"/>
  <c r="O82" i="1"/>
  <c r="O85" i="1"/>
  <c r="O34" i="1"/>
  <c r="O46" i="1"/>
  <c r="O78" i="1"/>
  <c r="O84" i="1"/>
  <c r="O32" i="1"/>
  <c r="O10" i="1"/>
  <c r="O5" i="1"/>
  <c r="O31" i="1"/>
  <c r="O65" i="1"/>
  <c r="O37" i="1"/>
  <c r="O30" i="1"/>
  <c r="O7" i="1"/>
  <c r="O72" i="1"/>
  <c r="O58" i="1"/>
  <c r="O55" i="1"/>
  <c r="O50" i="1"/>
  <c r="O87" i="1"/>
  <c r="O36" i="1"/>
  <c r="O39" i="1"/>
  <c r="O77" i="1"/>
  <c r="O6" i="1"/>
  <c r="O9" i="1"/>
  <c r="O35" i="1"/>
  <c r="O8" i="1"/>
  <c r="P4" i="1" l="1"/>
  <c r="P5" i="1" s="1"/>
  <c r="P6" i="1" s="1"/>
  <c r="P7" i="1" s="1"/>
  <c r="P8" i="1" s="1"/>
  <c r="P9" i="1" s="1"/>
  <c r="P10" i="1" s="1"/>
  <c r="P11" i="1"/>
  <c r="P12" i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</calcChain>
</file>

<file path=xl/sharedStrings.xml><?xml version="1.0" encoding="utf-8"?>
<sst xmlns="http://schemas.openxmlformats.org/spreadsheetml/2006/main" count="308" uniqueCount="259">
  <si>
    <t>Production</t>
  </si>
  <si>
    <t>times</t>
  </si>
  <si>
    <t>Adjusted</t>
  </si>
  <si>
    <t>Yield</t>
  </si>
  <si>
    <t>Protein</t>
  </si>
  <si>
    <t>Fat</t>
  </si>
  <si>
    <t>Carbs</t>
  </si>
  <si>
    <t>Calories</t>
  </si>
  <si>
    <t>units</t>
  </si>
  <si>
    <t>%</t>
  </si>
  <si>
    <t>tonnes</t>
  </si>
  <si>
    <t>total kcal</t>
  </si>
  <si>
    <t>maize</t>
  </si>
  <si>
    <t>wheat</t>
  </si>
  <si>
    <t>soybeans</t>
  </si>
  <si>
    <t>barley</t>
  </si>
  <si>
    <t>palm fruit oil</t>
  </si>
  <si>
    <t>cassava</t>
  </si>
  <si>
    <t>potatoes</t>
  </si>
  <si>
    <t>rapeseed oil</t>
  </si>
  <si>
    <t>sorghum</t>
  </si>
  <si>
    <t>groundnuts</t>
  </si>
  <si>
    <t>millet</t>
  </si>
  <si>
    <t>beans dry</t>
  </si>
  <si>
    <t>oats</t>
  </si>
  <si>
    <t>sugar cane</t>
  </si>
  <si>
    <t>sweet potato</t>
  </si>
  <si>
    <t>palm kernel oil</t>
  </si>
  <si>
    <t>yams</t>
  </si>
  <si>
    <t>rye</t>
  </si>
  <si>
    <t>triticale</t>
  </si>
  <si>
    <t>cottonseed oil</t>
  </si>
  <si>
    <t>peas dry</t>
  </si>
  <si>
    <t>plantains</t>
  </si>
  <si>
    <t>sugar beet</t>
  </si>
  <si>
    <t>sesame seed</t>
  </si>
  <si>
    <t>cow peas dry</t>
  </si>
  <si>
    <t>beans broad</t>
  </si>
  <si>
    <t>lentils</t>
  </si>
  <si>
    <t>peas green</t>
  </si>
  <si>
    <t>pigeon peas</t>
  </si>
  <si>
    <t>taro</t>
  </si>
  <si>
    <t>maize green</t>
  </si>
  <si>
    <t>walnuts</t>
  </si>
  <si>
    <t>beans green</t>
  </si>
  <si>
    <t>almonds</t>
  </si>
  <si>
    <t>cashew nuts</t>
  </si>
  <si>
    <t>buckwheat</t>
  </si>
  <si>
    <t>pumpkin flesh</t>
  </si>
  <si>
    <t>melonseed</t>
  </si>
  <si>
    <t>hazelnuts</t>
  </si>
  <si>
    <t>food</t>
  </si>
  <si>
    <t>Staple Crops</t>
  </si>
  <si>
    <t>1 billion</t>
  </si>
  <si>
    <t>7 billion</t>
  </si>
  <si>
    <t>10 billion</t>
  </si>
  <si>
    <t>tomatoes</t>
  </si>
  <si>
    <t>fonio</t>
  </si>
  <si>
    <t>A</t>
  </si>
  <si>
    <t>Percent</t>
  </si>
  <si>
    <t>B</t>
  </si>
  <si>
    <t>#</t>
  </si>
  <si>
    <t>USDA</t>
  </si>
  <si>
    <t>FDC ID</t>
  </si>
  <si>
    <t>174270 </t>
  </si>
  <si>
    <t>170283 </t>
  </si>
  <si>
    <t>171015 </t>
  </si>
  <si>
    <t>171422 </t>
  </si>
  <si>
    <t>t/ha</t>
  </si>
  <si>
    <t>ha</t>
  </si>
  <si>
    <t>172430 </t>
  </si>
  <si>
    <t>169702 </t>
  </si>
  <si>
    <t>175186 </t>
  </si>
  <si>
    <t>Maize: macronutrients Santos-Donado 2021</t>
  </si>
  <si>
    <t>Wheat: protein, fat and carbs from HRW, determined to be closest to average of all types weighted by production amounts in USDA data</t>
  </si>
  <si>
    <t>Sorghum: protein factor is 0.91</t>
  </si>
  <si>
    <t>Groundnuts: C13 is minus 30% for weight of hulls; groundnuts (peanuts) are sold from farms in shell</t>
  </si>
  <si>
    <t>Millet: USDA nutrition data from Proso millet</t>
  </si>
  <si>
    <t>Dry beans have a wide range of seeding rates and yields</t>
  </si>
  <si>
    <t>NOTES:</t>
  </si>
  <si>
    <t>rapeseed</t>
  </si>
  <si>
    <t>oil</t>
  </si>
  <si>
    <t>seed</t>
  </si>
  <si>
    <t>extraction</t>
  </si>
  <si>
    <t>Sunflower seed oil is total seed production adjusted to total oil production, omitting non-oil types of sunflower seed production</t>
  </si>
  <si>
    <t>Sugar cane yield is adjusted times 0.773333 for field value versus b&amp;c time 0.135 for sucrose in b&amp;c giving 0.1044 of field yield for sucrose yield</t>
  </si>
  <si>
    <t>Area Harv.</t>
  </si>
  <si>
    <t>Area Harvested does not take account of planted area not harvested due to crop failure.</t>
  </si>
  <si>
    <t>Cottonseed area harvested calculated from yield; yield from USDA data, 5-year average, as 1230 kg/ha; 14.24% oil in seed (final food oil output).</t>
  </si>
  <si>
    <t>carrots turnips</t>
  </si>
  <si>
    <t>cauliflower broccoli</t>
  </si>
  <si>
    <t>Calories column uses kcal/g of macronutrient from USDA database (Atwater; Merrill and Watts) https://en.wikipedia.org/wiki/Atwater_system#Modified_system</t>
  </si>
  <si>
    <t>Nuts production tonnage is usually with shell; adjustment for edible portion in column C</t>
  </si>
  <si>
    <t>molasses</t>
  </si>
  <si>
    <t>safflower oil</t>
  </si>
  <si>
    <t>wine</t>
  </si>
  <si>
    <t>apples</t>
  </si>
  <si>
    <t>apricots</t>
  </si>
  <si>
    <t>artichokes</t>
  </si>
  <si>
    <t>asparagus</t>
  </si>
  <si>
    <t>Yield is calculated from FAOSTAT production and area</t>
  </si>
  <si>
    <t>Artichokes are 60% refuse per SR28 USDA national nutrient database (deprecated).</t>
  </si>
  <si>
    <t>avocados</t>
  </si>
  <si>
    <t>bananas</t>
  </si>
  <si>
    <t>Bambara bean macronutrients from "Potential of Bambara Groundnut (Vigna subterranea (L.) Verdc) Milk as a Probiotic Beverage"; atwater factors from beans dry.</t>
  </si>
  <si>
    <t>beans bambara</t>
  </si>
  <si>
    <t>berries nes</t>
  </si>
  <si>
    <t>Berries nes is berries not elsewhere specified; nutrition uses blackberries for values; refuse is average of strawberries, blueberries, blackberries.</t>
  </si>
  <si>
    <t>blueberries</t>
  </si>
  <si>
    <t>cereals nes</t>
  </si>
  <si>
    <t>cherries</t>
  </si>
  <si>
    <t>Cherries includes regular and sour listings in FAOSTAT; nutrition is average of sweet and sour cherries in USDA data</t>
  </si>
  <si>
    <t>chestnut</t>
  </si>
  <si>
    <t>peppers chillies</t>
  </si>
  <si>
    <t>cocoa</t>
  </si>
  <si>
    <t>coconut meat</t>
  </si>
  <si>
    <t>170169 </t>
  </si>
  <si>
    <t>Coconut meat includes the oil.</t>
  </si>
  <si>
    <t>cranberries</t>
  </si>
  <si>
    <t>171722 </t>
  </si>
  <si>
    <t>cucumbers</t>
  </si>
  <si>
    <t>currants</t>
  </si>
  <si>
    <t>173963 </t>
  </si>
  <si>
    <t>dates</t>
  </si>
  <si>
    <t>171726 </t>
  </si>
  <si>
    <t>...which is usually taken from SR28 USDA national nutrient database, now replaced by Food Data Central (the latter lacks this information on percent refuse)</t>
  </si>
  <si>
    <t>Adjusted yield uses production times a factor (e.g. C5) taking into account loss of weight from hulling, peelings, other inedible plant parts....</t>
  </si>
  <si>
    <t>eggplant</t>
  </si>
  <si>
    <t>figs</t>
  </si>
  <si>
    <t>173021 </t>
  </si>
  <si>
    <t>fruit nes</t>
  </si>
  <si>
    <t>gooseberries</t>
  </si>
  <si>
    <t>grains mixed</t>
  </si>
  <si>
    <t>Fruit nes combines citrus, fresh, pome, stone, and tropical fruits -- each and all nes (not elsewhere specified); values used are rough estimates.</t>
  </si>
  <si>
    <t>173030 </t>
  </si>
  <si>
    <t>Grains mixed uses rough estimates for values.</t>
  </si>
  <si>
    <t>grapefruit</t>
  </si>
  <si>
    <t>grapes</t>
  </si>
  <si>
    <t>174682 </t>
  </si>
  <si>
    <t>hempseed</t>
  </si>
  <si>
    <t>170148 </t>
  </si>
  <si>
    <t>kiwifruit</t>
  </si>
  <si>
    <t>168153 </t>
  </si>
  <si>
    <t>leeks</t>
  </si>
  <si>
    <t>169246 </t>
  </si>
  <si>
    <t>lemons limes</t>
  </si>
  <si>
    <t>Lemons Limes uses lemon juice for macronutrients as the pulp is usually not consumed and lemon is more common than lime.</t>
  </si>
  <si>
    <t>lettuce chicory</t>
  </si>
  <si>
    <t>Lettuce uses average of refuse percent from green leaf, raw and butterhead USDA listings SR28.</t>
  </si>
  <si>
    <t>lupins</t>
  </si>
  <si>
    <t>Flaxseed: USDA SR28 note: "Up to 12 percent flax seed can safely be used as an ingredient in food."</t>
  </si>
  <si>
    <t>Mate in primary crops of FAOSTAT is: "Mate or maté[a], ('mat̪e) maté ... also known as chimarrão or cimarrón[b].... is made by soaking dried leaves of the holly species, Ilex paraguariensis, in hot water...."</t>
  </si>
  <si>
    <t>melons</t>
  </si>
  <si>
    <t>169092 </t>
  </si>
  <si>
    <t>mushrooms</t>
  </si>
  <si>
    <t>nuts nes</t>
  </si>
  <si>
    <t>169251 </t>
  </si>
  <si>
    <t>Nuts nes (not elsewhere specified) uses pine nuts for the macronutrient value.</t>
  </si>
  <si>
    <t>okra</t>
  </si>
  <si>
    <t>olives</t>
  </si>
  <si>
    <t>onions dry</t>
  </si>
  <si>
    <t>onions shallots green</t>
  </si>
  <si>
    <t>169094 </t>
  </si>
  <si>
    <t>169260 </t>
  </si>
  <si>
    <t>oranges</t>
  </si>
  <si>
    <t>papayas</t>
  </si>
  <si>
    <t>peaches, nectarines</t>
  </si>
  <si>
    <t>pears</t>
  </si>
  <si>
    <t>persimmons</t>
  </si>
  <si>
    <t>pineapples</t>
  </si>
  <si>
    <t>pistachios</t>
  </si>
  <si>
    <t>plums</t>
  </si>
  <si>
    <t>pulses nes</t>
  </si>
  <si>
    <t>quinces</t>
  </si>
  <si>
    <t>quinoa</t>
  </si>
  <si>
    <t>rice</t>
  </si>
  <si>
    <t>Rice: adjusted production is "rice milled equivalent", calculated from FAOSTAT "rice, paddy (rice milled equivalent)" divided by "rice, paddy".</t>
  </si>
  <si>
    <t>Column C is an adjustment for the difference between weight of crop at harvest and weight of edible portion of the food.</t>
  </si>
  <si>
    <t>Potatoes: C10 is minus 25% of potatoes lost to peelings, bad spots, etc.</t>
  </si>
  <si>
    <t>raspberries</t>
  </si>
  <si>
    <t>roots, tubers nes</t>
  </si>
  <si>
    <t>spinach</t>
  </si>
  <si>
    <t>strawberries</t>
  </si>
  <si>
    <t>beans string</t>
  </si>
  <si>
    <t>sugar crops nes</t>
  </si>
  <si>
    <t>tangerines</t>
  </si>
  <si>
    <t>vegetables fresh nes</t>
  </si>
  <si>
    <t>vegetables leguminous nes</t>
  </si>
  <si>
    <t>watermelon</t>
  </si>
  <si>
    <t>yautia (cocoyam)</t>
  </si>
  <si>
    <t>170562 </t>
  </si>
  <si>
    <t>olive oil</t>
  </si>
  <si>
    <t>168884 </t>
  </si>
  <si>
    <t>171027 </t>
  </si>
  <si>
    <t>170150 </t>
  </si>
  <si>
    <t>169145 </t>
  </si>
  <si>
    <t>168820 </t>
  </si>
  <si>
    <t>170567 </t>
  </si>
  <si>
    <t>175205 </t>
  </si>
  <si>
    <t>169961 </t>
  </si>
  <si>
    <t>Beans snap and Beans string appear to be the same general type of bean, probably varying from nation to  nation as to what they are called.</t>
  </si>
  <si>
    <t>170286 </t>
  </si>
  <si>
    <t>169975 </t>
  </si>
  <si>
    <t>170393 </t>
  </si>
  <si>
    <t>170162 </t>
  </si>
  <si>
    <t>See note</t>
  </si>
  <si>
    <t>Cauliflower broccoli listing uses broccoli data as the more common crop.</t>
  </si>
  <si>
    <t>175208 </t>
  </si>
  <si>
    <t>170581 </t>
  </si>
  <si>
    <t>747447 </t>
  </si>
  <si>
    <t>Fonio macronutrients from: Vodouhe, R. S., et al. "Fonio: a treasure for West Africa." Plant genetic resources and food security in West and Central Africa. Ibadan, Nigeria (2007): 219-222.</t>
  </si>
  <si>
    <t>170556 </t>
  </si>
  <si>
    <t>171413 </t>
  </si>
  <si>
    <t>169926 </t>
  </si>
  <si>
    <t>Palm fruit oil and Palm kernel oil are harvested from the exact same land, so the harvested area is repeated -- remember to exclude one from the total land area at bottom of chart.</t>
  </si>
  <si>
    <t>169928 </t>
  </si>
  <si>
    <t>172428 </t>
  </si>
  <si>
    <t>Peas green listing in SR28 has 62% refuse, which would seem to be 38% value for column C; however, modern harvesting threshes the peas from the pod, so C is 1.00 not 0.38</t>
  </si>
  <si>
    <t>169943 </t>
  </si>
  <si>
    <t>172436 </t>
  </si>
  <si>
    <t>170184 </t>
  </si>
  <si>
    <t>169130 </t>
  </si>
  <si>
    <t>169949 </t>
  </si>
  <si>
    <t>172420 </t>
  </si>
  <si>
    <t>168448 </t>
  </si>
  <si>
    <t>168874 </t>
  </si>
  <si>
    <t>167755 </t>
  </si>
  <si>
    <t>Roots tubers nes uses taro for macronutrient data.</t>
  </si>
  <si>
    <t>168462 </t>
  </si>
  <si>
    <t>169662 </t>
  </si>
  <si>
    <t>169718 </t>
  </si>
  <si>
    <t>flaxseed (linseed)</t>
  </si>
  <si>
    <t>chickpeas</t>
  </si>
  <si>
    <t>169401 </t>
  </si>
  <si>
    <t>173185 </t>
  </si>
  <si>
    <t>167765 </t>
  </si>
  <si>
    <t>170187 </t>
  </si>
  <si>
    <t>169986 </t>
  </si>
  <si>
    <t>Vegetables fresh and Vegetables leguminous use cauliflower and lentils for macronutrient data.</t>
  </si>
  <si>
    <t>cabbage kale</t>
  </si>
  <si>
    <t>mangoes mangosteens guavas</t>
  </si>
  <si>
    <t>sunflower seeds</t>
  </si>
  <si>
    <t>a thousand crops at 10^10 is one crop at 10^13.</t>
  </si>
  <si>
    <t>Population</t>
  </si>
  <si>
    <t>n</t>
  </si>
  <si>
    <t>kcal/person</t>
  </si>
  <si>
    <t>kcal can feed</t>
  </si>
  <si>
    <t>t</t>
  </si>
  <si>
    <t>Cereal crops harvested for hay or harvested green for food, feed or silage or used for grazing are therefore excluded.</t>
  </si>
  <si>
    <t xml:space="preserve">Cereals: Area and production data on cereals relate to crops harvested for dry grain only.  </t>
  </si>
  <si>
    <t>Area data relate to harvested area. Some countries report sown or cultivated area only.</t>
  </si>
  <si>
    <t>Are some crops missing? Note the multiple entries in the chart ending in "nes", such as cereals nes (not eslewhere specified).</t>
  </si>
  <si>
    <t>The term "nes" is an aggregate category for less common crops of each type: nuts, cereals, fruits, vegetables, pulses, roots and tubers, berries, sugar crops.</t>
  </si>
  <si>
    <t>have:</t>
  </si>
  <si>
    <t>need:</t>
  </si>
  <si>
    <t>8 billion</t>
  </si>
  <si>
    <t>kcal</t>
  </si>
  <si>
    <t>Onions dry are mature onions destined for dehydration, but production weight is field weight prior to dehydration.</t>
  </si>
  <si>
    <t>Onions shallots green is immature onions (i.e. small bulb) used as greens.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</si>
</sst>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0.000E+00"/>
    <numFmt numFmtId="166" formatCode="0.000%"/>
    <numFmt numFmtId="167" formatCode="_(* #,##0.000_);_(* \(#,##0.000\);_(* &quot;-&quot;??_);_(@_)"/>
    <numFmt numFmtId="168" formatCode="0.0%"/>
    <numFmt numFmtId="169" formatCode="0.0000%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0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0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10" fontId="5" fillId="2" borderId="1" xfId="0" applyNumberFormat="1" applyFont="1" applyFill="1" applyBorder="1" applyAlignment="1" applyProtection="1">
      <alignment vertical="center"/>
    </xf>
    <xf numFmtId="165" fontId="5" fillId="2" borderId="1" xfId="0" applyNumberFormat="1" applyFont="1" applyFill="1" applyBorder="1" applyAlignment="1" applyProtection="1">
      <alignment vertical="center"/>
    </xf>
    <xf numFmtId="166" fontId="5" fillId="2" borderId="1" xfId="0" applyNumberFormat="1" applyFont="1" applyFill="1" applyBorder="1" applyAlignment="1" applyProtection="1">
      <alignment vertical="center"/>
    </xf>
    <xf numFmtId="167" fontId="5" fillId="2" borderId="1" xfId="1" applyNumberFormat="1" applyFont="1" applyFill="1" applyBorder="1" applyAlignment="1" applyProtection="1">
      <alignment vertical="center"/>
    </xf>
    <xf numFmtId="11" fontId="5" fillId="2" borderId="1" xfId="1" applyNumberFormat="1" applyFont="1" applyFill="1" applyBorder="1" applyAlignment="1" applyProtection="1">
      <alignment vertical="center"/>
    </xf>
    <xf numFmtId="11" fontId="4" fillId="2" borderId="1" xfId="0" applyNumberFormat="1" applyFont="1" applyFill="1" applyBorder="1" applyAlignment="1" applyProtection="1">
      <alignment horizontal="center" vertical="center"/>
      <protection locked="0"/>
    </xf>
    <xf numFmtId="11" fontId="5" fillId="2" borderId="1" xfId="0" applyNumberFormat="1" applyFont="1" applyFill="1" applyBorder="1" applyAlignment="1" applyProtection="1">
      <alignment horizontal="center" vertical="center"/>
      <protection locked="0"/>
    </xf>
    <xf numFmtId="11" fontId="5" fillId="2" borderId="1" xfId="0" applyNumberFormat="1" applyFont="1" applyFill="1" applyBorder="1" applyAlignment="1" applyProtection="1">
      <alignment vertical="center"/>
    </xf>
    <xf numFmtId="11" fontId="4" fillId="2" borderId="1" xfId="1" applyNumberFormat="1" applyFont="1" applyFill="1" applyBorder="1" applyAlignment="1" applyProtection="1">
      <alignment horizontal="center" vertical="center"/>
      <protection locked="0"/>
    </xf>
    <xf numFmtId="11" fontId="5" fillId="2" borderId="1" xfId="1" applyNumberFormat="1" applyFont="1" applyFill="1" applyBorder="1" applyAlignment="1" applyProtection="1">
      <alignment horizontal="center" vertical="center"/>
      <protection locked="0"/>
    </xf>
    <xf numFmtId="168" fontId="4" fillId="2" borderId="1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11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/>
    <xf numFmtId="0" fontId="5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protection locked="0"/>
    </xf>
    <xf numFmtId="11" fontId="1" fillId="0" borderId="1" xfId="1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11" fontId="1" fillId="0" borderId="1" xfId="0" applyNumberFormat="1" applyFon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68" fontId="1" fillId="0" borderId="1" xfId="0" applyNumberFormat="1" applyFont="1" applyFill="1" applyBorder="1" applyAlignment="1" applyProtection="1">
      <protection locked="0"/>
    </xf>
    <xf numFmtId="165" fontId="1" fillId="0" borderId="1" xfId="0" applyNumberFormat="1" applyFont="1" applyFill="1" applyBorder="1" applyAlignment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168" fontId="2" fillId="0" borderId="1" xfId="0" applyNumberFormat="1" applyFont="1" applyFill="1" applyBorder="1" applyAlignment="1" applyProtection="1">
      <protection locked="0"/>
    </xf>
    <xf numFmtId="168" fontId="0" fillId="0" borderId="1" xfId="0" applyNumberFormat="1" applyFont="1" applyFill="1" applyBorder="1" applyAlignment="1" applyProtection="1">
      <protection locked="0"/>
    </xf>
    <xf numFmtId="168" fontId="1" fillId="0" borderId="1" xfId="2" applyNumberFormat="1" applyFont="1" applyFill="1" applyBorder="1" applyAlignment="1" applyProtection="1">
      <alignment horizontal="center"/>
      <protection locked="0"/>
    </xf>
    <xf numFmtId="11" fontId="1" fillId="0" borderId="1" xfId="0" applyNumberFormat="1" applyFont="1" applyFill="1" applyBorder="1" applyAlignment="1" applyProtection="1">
      <alignment horizontal="center"/>
      <protection locked="0"/>
    </xf>
    <xf numFmtId="11" fontId="5" fillId="2" borderId="1" xfId="1" applyNumberFormat="1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1" fontId="5" fillId="2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8" fontId="5" fillId="2" borderId="1" xfId="0" applyNumberFormat="1" applyFont="1" applyFill="1" applyBorder="1" applyAlignment="1" applyProtection="1">
      <protection locked="0"/>
    </xf>
    <xf numFmtId="165" fontId="5" fillId="2" borderId="1" xfId="0" applyNumberFormat="1" applyFont="1" applyFill="1" applyBorder="1" applyAlignment="1" applyProtection="1">
      <protection locked="0"/>
    </xf>
    <xf numFmtId="166" fontId="5" fillId="2" borderId="1" xfId="0" applyNumberFormat="1" applyFont="1" applyFill="1" applyBorder="1" applyAlignment="1" applyProtection="1">
      <protection locked="0"/>
    </xf>
    <xf numFmtId="10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/>
    </xf>
    <xf numFmtId="168" fontId="5" fillId="2" borderId="1" xfId="0" applyNumberFormat="1" applyFont="1" applyFill="1" applyBorder="1" applyAlignment="1" applyProtection="1">
      <alignment vertical="center"/>
      <protection locked="0"/>
    </xf>
    <xf numFmtId="11" fontId="5" fillId="2" borderId="1" xfId="1" applyNumberFormat="1" applyFont="1" applyFill="1" applyBorder="1" applyAlignment="1">
      <alignment vertical="center" wrapText="1"/>
    </xf>
    <xf numFmtId="10" fontId="5" fillId="2" borderId="1" xfId="0" applyNumberFormat="1" applyFont="1" applyFill="1" applyBorder="1" applyAlignment="1" applyProtection="1">
      <alignment vertical="center"/>
      <protection locked="0"/>
    </xf>
    <xf numFmtId="43" fontId="5" fillId="2" borderId="1" xfId="1" applyNumberFormat="1" applyFont="1" applyFill="1" applyBorder="1" applyAlignment="1" applyProtection="1">
      <alignment vertical="center"/>
    </xf>
    <xf numFmtId="169" fontId="5" fillId="2" borderId="1" xfId="0" applyNumberFormat="1" applyFont="1" applyFill="1" applyBorder="1" applyAlignment="1" applyProtection="1">
      <alignment vertical="center"/>
    </xf>
    <xf numFmtId="166" fontId="1" fillId="3" borderId="1" xfId="0" applyNumberFormat="1" applyFont="1" applyFill="1" applyBorder="1" applyAlignment="1" applyProtection="1">
      <protection locked="0"/>
    </xf>
    <xf numFmtId="10" fontId="1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6" fontId="3" fillId="3" borderId="1" xfId="0" applyNumberFormat="1" applyFont="1" applyFill="1" applyBorder="1" applyAlignment="1" applyProtection="1">
      <alignment horizontal="center"/>
      <protection locked="0"/>
    </xf>
    <xf numFmtId="1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1" fontId="3" fillId="0" borderId="1" xfId="1" applyNumberFormat="1" applyFont="1" applyFill="1" applyBorder="1" applyAlignment="1" applyProtection="1">
      <alignment horizontal="center"/>
      <protection locked="0"/>
    </xf>
    <xf numFmtId="11" fontId="3" fillId="0" borderId="1" xfId="0" applyNumberFormat="1" applyFont="1" applyFill="1" applyBorder="1" applyAlignment="1" applyProtection="1">
      <alignment horizontal="center"/>
      <protection locked="0"/>
    </xf>
    <xf numFmtId="168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11" fontId="1" fillId="0" borderId="1" xfId="1" applyNumberFormat="1" applyFont="1" applyFill="1" applyBorder="1" applyAlignment="1" applyProtection="1">
      <alignment horizontal="center"/>
      <protection locked="0"/>
    </xf>
    <xf numFmtId="168" fontId="1" fillId="0" borderId="1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166" fontId="1" fillId="3" borderId="1" xfId="0" applyNumberFormat="1" applyFont="1" applyFill="1" applyBorder="1" applyAlignment="1" applyProtection="1">
      <alignment horizontal="center"/>
      <protection locked="0"/>
    </xf>
    <xf numFmtId="1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protection locked="0"/>
    </xf>
    <xf numFmtId="11" fontId="1" fillId="3" borderId="1" xfId="0" applyNumberFormat="1" applyFont="1" applyFill="1" applyBorder="1" applyAlignment="1" applyProtection="1">
      <protection locked="0"/>
    </xf>
    <xf numFmtId="11" fontId="1" fillId="3" borderId="1" xfId="0" applyNumberFormat="1" applyFont="1" applyFill="1" applyBorder="1" applyAlignment="1" applyProtection="1">
      <alignment horizontal="center"/>
      <protection locked="0"/>
    </xf>
    <xf numFmtId="11" fontId="1" fillId="0" borderId="1" xfId="0" applyNumberFormat="1" applyFont="1" applyFill="1" applyBorder="1" applyAlignment="1" applyProtection="1">
      <alignment horizontal="right"/>
      <protection locked="0"/>
    </xf>
    <xf numFmtId="11" fontId="1" fillId="0" borderId="1" xfId="1" applyNumberFormat="1" applyFont="1" applyFill="1" applyBorder="1" applyAlignment="1" applyProtection="1">
      <alignment horizontal="right"/>
      <protection locked="0"/>
    </xf>
    <xf numFmtId="168" fontId="1" fillId="0" borderId="1" xfId="0" applyNumberFormat="1" applyFont="1" applyFill="1" applyBorder="1" applyAlignment="1" applyProtection="1">
      <alignment horizontal="left"/>
      <protection locked="0"/>
    </xf>
    <xf numFmtId="168" fontId="2" fillId="0" borderId="1" xfId="0" applyNumberFormat="1" applyFont="1" applyFill="1" applyBorder="1" applyAlignment="1" applyProtection="1">
      <alignment horizontal="center"/>
      <protection locked="0"/>
    </xf>
    <xf numFmtId="11" fontId="1" fillId="3" borderId="1" xfId="1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8" fontId="1" fillId="3" borderId="1" xfId="0" applyNumberFormat="1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/>
    <xf numFmtId="11" fontId="5" fillId="2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0"/>
  <sheetViews>
    <sheetView tabSelected="1" zoomScale="150" zoomScaleNormal="150" workbookViewId="0">
      <pane ySplit="1" topLeftCell="A95" activePane="bottomLeft" state="frozen"/>
      <selection pane="bottomLeft" activeCell="K117" sqref="K116:K117"/>
    </sheetView>
  </sheetViews>
  <sheetFormatPr defaultColWidth="11.42578125" defaultRowHeight="12.75" x14ac:dyDescent="0.2"/>
  <cols>
    <col min="1" max="1" width="14.140625" style="38" customWidth="1"/>
    <col min="2" max="2" width="10.7109375" style="39" customWidth="1"/>
    <col min="3" max="3" width="6.5703125" style="40" customWidth="1"/>
    <col min="4" max="4" width="10.7109375" style="41" customWidth="1"/>
    <col min="5" max="5" width="10.7109375" style="39" customWidth="1"/>
    <col min="6" max="6" width="9.28515625" style="38" customWidth="1"/>
    <col min="7" max="7" width="8.85546875" style="42" customWidth="1"/>
    <col min="8" max="10" width="7.7109375" style="43" customWidth="1"/>
    <col min="11" max="13" width="10.7109375" style="39" customWidth="1"/>
    <col min="14" max="14" width="11" style="44" customWidth="1"/>
    <col min="15" max="15" width="11.7109375" style="58" customWidth="1"/>
    <col min="16" max="16" width="11.7109375" style="59" customWidth="1"/>
    <col min="17" max="17" width="5.140625" style="34" customWidth="1"/>
    <col min="18" max="18" width="9.7109375" style="1" customWidth="1"/>
    <col min="19" max="19" width="11.42578125" style="60"/>
    <col min="20" max="20" width="11.42578125" style="35"/>
    <col min="21" max="16384" width="11.42578125" style="37"/>
  </cols>
  <sheetData>
    <row r="1" spans="1:20" s="1" customFormat="1" x14ac:dyDescent="0.2">
      <c r="A1" s="2" t="s">
        <v>52</v>
      </c>
      <c r="B1" s="24" t="s">
        <v>0</v>
      </c>
      <c r="C1" s="3" t="s">
        <v>1</v>
      </c>
      <c r="D1" s="21" t="s">
        <v>2</v>
      </c>
      <c r="E1" s="24" t="s">
        <v>86</v>
      </c>
      <c r="F1" s="2" t="s">
        <v>3</v>
      </c>
      <c r="G1" s="4" t="s">
        <v>2</v>
      </c>
      <c r="H1" s="26" t="s">
        <v>4</v>
      </c>
      <c r="I1" s="26" t="s">
        <v>5</v>
      </c>
      <c r="J1" s="26" t="s">
        <v>6</v>
      </c>
      <c r="K1" s="24" t="s">
        <v>4</v>
      </c>
      <c r="L1" s="24" t="s">
        <v>5</v>
      </c>
      <c r="M1" s="24" t="s">
        <v>6</v>
      </c>
      <c r="N1" s="6" t="s">
        <v>7</v>
      </c>
      <c r="O1" s="7" t="s">
        <v>59</v>
      </c>
      <c r="P1" s="5" t="s">
        <v>59</v>
      </c>
      <c r="Q1" s="2" t="s">
        <v>61</v>
      </c>
      <c r="R1" s="8" t="s">
        <v>62</v>
      </c>
      <c r="S1" s="32"/>
    </row>
    <row r="2" spans="1:20" s="1" customFormat="1" x14ac:dyDescent="0.2">
      <c r="A2" s="2" t="s">
        <v>51</v>
      </c>
      <c r="B2" s="25" t="s">
        <v>10</v>
      </c>
      <c r="C2" s="10" t="s">
        <v>9</v>
      </c>
      <c r="D2" s="22" t="s">
        <v>10</v>
      </c>
      <c r="E2" s="25" t="s">
        <v>69</v>
      </c>
      <c r="F2" s="11" t="s">
        <v>68</v>
      </c>
      <c r="G2" s="11" t="s">
        <v>68</v>
      </c>
      <c r="H2" s="27" t="s">
        <v>9</v>
      </c>
      <c r="I2" s="27" t="s">
        <v>9</v>
      </c>
      <c r="J2" s="27" t="s">
        <v>9</v>
      </c>
      <c r="K2" s="25" t="s">
        <v>10</v>
      </c>
      <c r="L2" s="25" t="s">
        <v>10</v>
      </c>
      <c r="M2" s="25" t="s">
        <v>10</v>
      </c>
      <c r="N2" s="13" t="s">
        <v>11</v>
      </c>
      <c r="O2" s="14" t="s">
        <v>58</v>
      </c>
      <c r="P2" s="12" t="s">
        <v>60</v>
      </c>
      <c r="Q2" s="9"/>
      <c r="R2" s="8" t="s">
        <v>63</v>
      </c>
    </row>
    <row r="3" spans="1:20" s="34" customFormat="1" x14ac:dyDescent="0.2">
      <c r="A3" s="15" t="s">
        <v>12</v>
      </c>
      <c r="B3" s="20">
        <v>1141359868</v>
      </c>
      <c r="C3" s="30">
        <v>1</v>
      </c>
      <c r="D3" s="23">
        <f t="shared" ref="D3:D34" si="0">B3*C3</f>
        <v>1141359868</v>
      </c>
      <c r="E3" s="20">
        <v>196356719</v>
      </c>
      <c r="F3" s="19">
        <f t="shared" ref="F3:F34" si="1">B3/E3</f>
        <v>5.8126855745639139</v>
      </c>
      <c r="G3" s="29">
        <f t="shared" ref="G3:G38" si="2">D3/E3</f>
        <v>5.8126855745639139</v>
      </c>
      <c r="H3" s="28">
        <v>8.7900000000000006E-2</v>
      </c>
      <c r="I3" s="28">
        <v>4.5699999999999998E-2</v>
      </c>
      <c r="J3" s="28">
        <v>0.73480000000000001</v>
      </c>
      <c r="K3" s="20">
        <f t="shared" ref="K3:K34" si="3">D3*H3</f>
        <v>100325532.3972</v>
      </c>
      <c r="L3" s="20">
        <f t="shared" ref="L3:L34" si="4">D3*I3</f>
        <v>52160145.967599995</v>
      </c>
      <c r="M3" s="20">
        <f t="shared" ref="M3:M34" si="5">D3*J3</f>
        <v>838671231.00639999</v>
      </c>
      <c r="N3" s="17">
        <f>((M3*10000)*403)+((L3*10000)*837)+((K3*10000)*273)</f>
        <v>4090314186148960</v>
      </c>
      <c r="O3" s="18">
        <f>N3/N121</f>
        <v>0.27222393948580242</v>
      </c>
      <c r="P3" s="16">
        <f>O3</f>
        <v>0.27222393948580242</v>
      </c>
      <c r="Q3" s="33">
        <v>1</v>
      </c>
      <c r="R3" s="9">
        <v>790276</v>
      </c>
      <c r="T3" s="35"/>
    </row>
    <row r="4" spans="1:20" s="35" customFormat="1" x14ac:dyDescent="0.2">
      <c r="A4" s="15" t="s">
        <v>13</v>
      </c>
      <c r="B4" s="20">
        <v>764980821</v>
      </c>
      <c r="C4" s="30">
        <v>1</v>
      </c>
      <c r="D4" s="23">
        <f t="shared" si="0"/>
        <v>764980821</v>
      </c>
      <c r="E4" s="20">
        <v>215899861</v>
      </c>
      <c r="F4" s="19">
        <f t="shared" si="1"/>
        <v>3.5432205350053469</v>
      </c>
      <c r="G4" s="29">
        <f t="shared" si="2"/>
        <v>3.5432205350053469</v>
      </c>
      <c r="H4" s="28">
        <v>0.126</v>
      </c>
      <c r="I4" s="28">
        <v>1.54E-2</v>
      </c>
      <c r="J4" s="28">
        <v>0.71199999999999997</v>
      </c>
      <c r="K4" s="20">
        <f t="shared" si="3"/>
        <v>96387583.445999995</v>
      </c>
      <c r="L4" s="20">
        <f t="shared" si="4"/>
        <v>11780704.6434</v>
      </c>
      <c r="M4" s="20">
        <f t="shared" si="5"/>
        <v>544666344.55199993</v>
      </c>
      <c r="N4" s="17">
        <f>((M4*10000)*378)+((L4*10000)*837)+((K4*10000)*359)</f>
        <v>2503474704842958</v>
      </c>
      <c r="O4" s="18">
        <f>N4/N121</f>
        <v>0.16661452288022055</v>
      </c>
      <c r="P4" s="16">
        <f t="shared" ref="P4:P35" si="6">P3+O4</f>
        <v>0.43883846236602297</v>
      </c>
      <c r="Q4" s="33">
        <f t="shared" ref="Q4:Q35" si="7">Q3+1</f>
        <v>2</v>
      </c>
      <c r="R4" s="8">
        <v>168890</v>
      </c>
    </row>
    <row r="5" spans="1:20" s="35" customFormat="1" x14ac:dyDescent="0.2">
      <c r="A5" s="15" t="s">
        <v>175</v>
      </c>
      <c r="B5" s="20">
        <v>749189908</v>
      </c>
      <c r="C5" s="30">
        <v>0.66600000000000004</v>
      </c>
      <c r="D5" s="23">
        <f t="shared" si="0"/>
        <v>498960478.72800004</v>
      </c>
      <c r="E5" s="20">
        <v>158300068</v>
      </c>
      <c r="F5" s="19">
        <f t="shared" si="1"/>
        <v>4.7327200642769149</v>
      </c>
      <c r="G5" s="29">
        <f t="shared" si="2"/>
        <v>3.1519915628084254</v>
      </c>
      <c r="H5" s="28">
        <v>7.2999999999999995E-2</v>
      </c>
      <c r="I5" s="28">
        <v>6.6E-3</v>
      </c>
      <c r="J5" s="28">
        <v>0.8</v>
      </c>
      <c r="K5" s="20">
        <f t="shared" si="3"/>
        <v>36424114.947144002</v>
      </c>
      <c r="L5" s="20">
        <f t="shared" si="4"/>
        <v>3293139.1596048004</v>
      </c>
      <c r="M5" s="20">
        <f t="shared" si="5"/>
        <v>399168382.98240006</v>
      </c>
      <c r="N5" s="17">
        <f>((M5*10000)*416)+((L5*10000)*837)+((K5*10000)*382)</f>
        <v>1827244167070766.5</v>
      </c>
      <c r="O5" s="18">
        <f>N5/N121</f>
        <v>0.12160914368066662</v>
      </c>
      <c r="P5" s="16">
        <f t="shared" si="6"/>
        <v>0.56044760604668964</v>
      </c>
      <c r="Q5" s="33">
        <f t="shared" si="7"/>
        <v>3</v>
      </c>
      <c r="R5" s="8">
        <v>169756</v>
      </c>
    </row>
    <row r="6" spans="1:20" s="35" customFormat="1" x14ac:dyDescent="0.2">
      <c r="A6" s="15" t="s">
        <v>14</v>
      </c>
      <c r="B6" s="20">
        <v>336329392</v>
      </c>
      <c r="C6" s="30">
        <v>1</v>
      </c>
      <c r="D6" s="23">
        <f t="shared" si="0"/>
        <v>336329392</v>
      </c>
      <c r="E6" s="20">
        <v>121533206</v>
      </c>
      <c r="F6" s="19">
        <f t="shared" si="1"/>
        <v>2.7673868160772455</v>
      </c>
      <c r="G6" s="29">
        <f t="shared" si="2"/>
        <v>2.7673868160772455</v>
      </c>
      <c r="H6" s="28">
        <v>0.36499999999999999</v>
      </c>
      <c r="I6" s="28">
        <v>0.19900000000000001</v>
      </c>
      <c r="J6" s="28">
        <v>0.30199999999999999</v>
      </c>
      <c r="K6" s="20">
        <f t="shared" si="3"/>
        <v>122760228.08</v>
      </c>
      <c r="L6" s="20">
        <f t="shared" si="4"/>
        <v>66929549.008000001</v>
      </c>
      <c r="M6" s="20">
        <f t="shared" si="5"/>
        <v>101571476.384</v>
      </c>
      <c r="N6" s="17">
        <f>((M6*10000)*407)+((L6*10000)*837)+((K6*10000)*347)</f>
        <v>1399574225517440</v>
      </c>
      <c r="O6" s="18">
        <f>N6/N121</f>
        <v>9.3146294375948305E-2</v>
      </c>
      <c r="P6" s="16">
        <f t="shared" si="6"/>
        <v>0.65359390042263799</v>
      </c>
      <c r="Q6" s="33">
        <f t="shared" si="7"/>
        <v>4</v>
      </c>
      <c r="R6" s="8" t="s">
        <v>64</v>
      </c>
    </row>
    <row r="7" spans="1:20" s="35" customFormat="1" x14ac:dyDescent="0.2">
      <c r="A7" s="15" t="s">
        <v>25</v>
      </c>
      <c r="B7" s="20">
        <v>1955307695</v>
      </c>
      <c r="C7" s="30">
        <v>0.10440000000000001</v>
      </c>
      <c r="D7" s="23">
        <f t="shared" si="0"/>
        <v>204134123.35800001</v>
      </c>
      <c r="E7" s="20">
        <v>26918629</v>
      </c>
      <c r="F7" s="19">
        <f t="shared" si="1"/>
        <v>72.637714758801422</v>
      </c>
      <c r="G7" s="29">
        <f t="shared" si="2"/>
        <v>7.5833774208188691</v>
      </c>
      <c r="H7" s="28">
        <v>0</v>
      </c>
      <c r="I7" s="28">
        <v>0</v>
      </c>
      <c r="J7" s="28">
        <v>0.99980000000000002</v>
      </c>
      <c r="K7" s="20">
        <f t="shared" si="3"/>
        <v>0</v>
      </c>
      <c r="L7" s="20">
        <f t="shared" si="4"/>
        <v>0</v>
      </c>
      <c r="M7" s="20">
        <f t="shared" si="5"/>
        <v>204093296.53332841</v>
      </c>
      <c r="N7" s="17">
        <f>((M7*10000)*387)+((L7*10000)*837)+((K7*10000)*347)</f>
        <v>789841057583981</v>
      </c>
      <c r="O7" s="18">
        <f>N7/N121</f>
        <v>5.2566535106580575E-2</v>
      </c>
      <c r="P7" s="16">
        <f t="shared" si="6"/>
        <v>0.70616043552921859</v>
      </c>
      <c r="Q7" s="33">
        <f t="shared" si="7"/>
        <v>5</v>
      </c>
      <c r="R7" s="8">
        <v>169655</v>
      </c>
      <c r="S7" s="32"/>
    </row>
    <row r="8" spans="1:20" s="35" customFormat="1" x14ac:dyDescent="0.2">
      <c r="A8" s="15" t="s">
        <v>16</v>
      </c>
      <c r="B8" s="20">
        <v>74583225</v>
      </c>
      <c r="C8" s="30">
        <v>1</v>
      </c>
      <c r="D8" s="23">
        <f t="shared" si="0"/>
        <v>74583225</v>
      </c>
      <c r="E8" s="20">
        <v>28401712</v>
      </c>
      <c r="F8" s="64">
        <f t="shared" si="1"/>
        <v>2.6260115939489843</v>
      </c>
      <c r="G8" s="29">
        <f t="shared" si="2"/>
        <v>2.6260115939489843</v>
      </c>
      <c r="H8" s="28">
        <v>0</v>
      </c>
      <c r="I8" s="28">
        <v>1</v>
      </c>
      <c r="J8" s="28">
        <v>0</v>
      </c>
      <c r="K8" s="20">
        <f t="shared" si="3"/>
        <v>0</v>
      </c>
      <c r="L8" s="20">
        <f t="shared" si="4"/>
        <v>74583225</v>
      </c>
      <c r="M8" s="20">
        <f t="shared" si="5"/>
        <v>0</v>
      </c>
      <c r="N8" s="17">
        <f>((M8*10000)*400)+((L8*10000)*884)+((K8*10000)*400)</f>
        <v>659315709000000</v>
      </c>
      <c r="O8" s="18">
        <f>N8/N121</f>
        <v>4.3879641392006903E-2</v>
      </c>
      <c r="P8" s="16">
        <f t="shared" si="6"/>
        <v>0.75004007692122554</v>
      </c>
      <c r="Q8" s="33">
        <f t="shared" si="7"/>
        <v>6</v>
      </c>
      <c r="R8" s="8" t="s">
        <v>66</v>
      </c>
      <c r="S8" s="32"/>
    </row>
    <row r="9" spans="1:20" s="34" customFormat="1" x14ac:dyDescent="0.2">
      <c r="A9" s="15" t="s">
        <v>15</v>
      </c>
      <c r="B9" s="20">
        <v>158462601</v>
      </c>
      <c r="C9" s="30">
        <v>0.85</v>
      </c>
      <c r="D9" s="23">
        <f t="shared" si="0"/>
        <v>134693210.84999999</v>
      </c>
      <c r="E9" s="20">
        <v>51018550</v>
      </c>
      <c r="F9" s="19">
        <f t="shared" si="1"/>
        <v>3.1059800993952198</v>
      </c>
      <c r="G9" s="29">
        <f t="shared" si="2"/>
        <v>2.6400830844859366</v>
      </c>
      <c r="H9" s="28">
        <v>0.125</v>
      </c>
      <c r="I9" s="28">
        <v>2.3E-2</v>
      </c>
      <c r="J9" s="28">
        <v>0.73499999999999999</v>
      </c>
      <c r="K9" s="20">
        <f t="shared" si="3"/>
        <v>16836651.356249999</v>
      </c>
      <c r="L9" s="20">
        <f t="shared" si="4"/>
        <v>3097943.8495499999</v>
      </c>
      <c r="M9" s="20">
        <f t="shared" si="5"/>
        <v>98999509.974749997</v>
      </c>
      <c r="N9" s="17">
        <f>((M9*10000)*395)+((L9*10000)*837)+((K9*10000)*355)</f>
        <v>476747966735683.5</v>
      </c>
      <c r="O9" s="18">
        <f>N9/N121</f>
        <v>3.1729154226371133E-2</v>
      </c>
      <c r="P9" s="16">
        <f t="shared" si="6"/>
        <v>0.78176923114759667</v>
      </c>
      <c r="Q9" s="33">
        <f t="shared" si="7"/>
        <v>7</v>
      </c>
      <c r="R9" s="8" t="s">
        <v>65</v>
      </c>
      <c r="S9" s="32"/>
      <c r="T9" s="35"/>
    </row>
    <row r="10" spans="1:20" s="35" customFormat="1" x14ac:dyDescent="0.2">
      <c r="A10" s="15" t="s">
        <v>17</v>
      </c>
      <c r="B10" s="20">
        <v>299028225</v>
      </c>
      <c r="C10" s="30">
        <v>0.9</v>
      </c>
      <c r="D10" s="23">
        <f t="shared" si="0"/>
        <v>269125402.5</v>
      </c>
      <c r="E10" s="20">
        <v>28357505</v>
      </c>
      <c r="F10" s="19">
        <f t="shared" si="1"/>
        <v>10.544941277450185</v>
      </c>
      <c r="G10" s="29">
        <f t="shared" si="2"/>
        <v>9.490447149705167</v>
      </c>
      <c r="H10" s="28">
        <v>1.3599999999999999E-2</v>
      </c>
      <c r="I10" s="28">
        <v>2.8E-3</v>
      </c>
      <c r="J10" s="28">
        <v>0.38059999999999999</v>
      </c>
      <c r="K10" s="20">
        <f t="shared" si="3"/>
        <v>3660105.4739999999</v>
      </c>
      <c r="L10" s="20">
        <f t="shared" si="4"/>
        <v>753551.12699999998</v>
      </c>
      <c r="M10" s="20">
        <f t="shared" si="5"/>
        <v>102429128.19149999</v>
      </c>
      <c r="N10" s="17">
        <f>((M10*10000)*403)+((L10*10000)*837)+((K10*10000)*278)</f>
        <v>429271702762454.94</v>
      </c>
      <c r="O10" s="18">
        <f>N10/N121</f>
        <v>2.8569451811670244E-2</v>
      </c>
      <c r="P10" s="16">
        <f t="shared" si="6"/>
        <v>0.81033868295926692</v>
      </c>
      <c r="Q10" s="33">
        <f t="shared" si="7"/>
        <v>8</v>
      </c>
      <c r="R10" s="9">
        <v>169985</v>
      </c>
      <c r="S10" s="36"/>
      <c r="T10" s="34"/>
    </row>
    <row r="11" spans="1:20" s="35" customFormat="1" x14ac:dyDescent="0.2">
      <c r="A11" s="15" t="s">
        <v>19</v>
      </c>
      <c r="B11" s="20">
        <v>24407916</v>
      </c>
      <c r="C11" s="30">
        <v>1</v>
      </c>
      <c r="D11" s="23">
        <f t="shared" si="0"/>
        <v>24407916</v>
      </c>
      <c r="E11" s="20">
        <v>34290153</v>
      </c>
      <c r="F11" s="19">
        <f t="shared" si="1"/>
        <v>0.71180539789367514</v>
      </c>
      <c r="G11" s="29">
        <f t="shared" si="2"/>
        <v>0.71180539789367514</v>
      </c>
      <c r="H11" s="28">
        <v>0</v>
      </c>
      <c r="I11" s="28">
        <v>1</v>
      </c>
      <c r="J11" s="28">
        <v>0</v>
      </c>
      <c r="K11" s="20">
        <f t="shared" si="3"/>
        <v>0</v>
      </c>
      <c r="L11" s="20">
        <f t="shared" si="4"/>
        <v>24407916</v>
      </c>
      <c r="M11" s="20">
        <f t="shared" si="5"/>
        <v>0</v>
      </c>
      <c r="N11" s="17">
        <f>((M11*10000)*403)+((L11*10000)*884)+((K11*10000)*278)</f>
        <v>215765977440000</v>
      </c>
      <c r="O11" s="18">
        <f>N11/N121</f>
        <v>1.435993953340349E-2</v>
      </c>
      <c r="P11" s="16">
        <f t="shared" si="6"/>
        <v>0.82469862249267045</v>
      </c>
      <c r="Q11" s="33">
        <f t="shared" si="7"/>
        <v>9</v>
      </c>
      <c r="R11" s="8">
        <v>172336</v>
      </c>
      <c r="S11" s="32"/>
    </row>
    <row r="12" spans="1:20" s="35" customFormat="1" ht="12.75" customHeight="1" x14ac:dyDescent="0.2">
      <c r="A12" s="15" t="s">
        <v>18</v>
      </c>
      <c r="B12" s="20">
        <v>354812093</v>
      </c>
      <c r="C12" s="30">
        <v>0.75</v>
      </c>
      <c r="D12" s="23">
        <f t="shared" si="0"/>
        <v>266109069.75</v>
      </c>
      <c r="E12" s="20">
        <v>16475816</v>
      </c>
      <c r="F12" s="19">
        <f t="shared" si="1"/>
        <v>21.535327476344722</v>
      </c>
      <c r="G12" s="29">
        <f t="shared" si="2"/>
        <v>16.151495607258543</v>
      </c>
      <c r="H12" s="28">
        <v>2.0500000000000001E-2</v>
      </c>
      <c r="I12" s="28">
        <v>8.9999999999999998E-4</v>
      </c>
      <c r="J12" s="28">
        <v>0.17499999999999999</v>
      </c>
      <c r="K12" s="20">
        <f t="shared" si="3"/>
        <v>5455235.9298750004</v>
      </c>
      <c r="L12" s="20">
        <f t="shared" si="4"/>
        <v>239498.162775</v>
      </c>
      <c r="M12" s="20">
        <f t="shared" si="5"/>
        <v>46569087.206249997</v>
      </c>
      <c r="N12" s="17">
        <f>((M12*10000)*403)+((L12*10000)*837)+((K12*10000)*278)</f>
        <v>204843576948666.75</v>
      </c>
      <c r="O12" s="18">
        <f>N12/N121</f>
        <v>1.3633017650370392E-2</v>
      </c>
      <c r="P12" s="16">
        <f t="shared" si="6"/>
        <v>0.83833164014304085</v>
      </c>
      <c r="Q12" s="33">
        <f t="shared" si="7"/>
        <v>10</v>
      </c>
      <c r="R12" s="8">
        <v>170026</v>
      </c>
      <c r="S12" s="32"/>
    </row>
    <row r="13" spans="1:20" s="34" customFormat="1" x14ac:dyDescent="0.2">
      <c r="A13" s="15" t="s">
        <v>21</v>
      </c>
      <c r="B13" s="20">
        <v>49544191</v>
      </c>
      <c r="C13" s="30">
        <v>0.7</v>
      </c>
      <c r="D13" s="23">
        <f t="shared" si="0"/>
        <v>34680933.699999996</v>
      </c>
      <c r="E13" s="20">
        <v>29818858</v>
      </c>
      <c r="F13" s="19">
        <f t="shared" si="1"/>
        <v>1.6615053131813431</v>
      </c>
      <c r="G13" s="29">
        <f t="shared" si="2"/>
        <v>1.1630537192269401</v>
      </c>
      <c r="H13" s="28">
        <v>0.25800000000000001</v>
      </c>
      <c r="I13" s="28">
        <v>0.4924</v>
      </c>
      <c r="J13" s="28">
        <v>0.1613</v>
      </c>
      <c r="K13" s="20">
        <f t="shared" si="3"/>
        <v>8947680.8945999984</v>
      </c>
      <c r="L13" s="20">
        <f t="shared" si="4"/>
        <v>17076891.753879998</v>
      </c>
      <c r="M13" s="20">
        <f t="shared" si="5"/>
        <v>5594034.6058099996</v>
      </c>
      <c r="N13" s="17">
        <f>((M13*10000)*407)+((L13*10000)*837)+((K13*10000)*347)</f>
        <v>196749757529884.28</v>
      </c>
      <c r="O13" s="18">
        <f>N13/N121</f>
        <v>1.3094347194411582E-2</v>
      </c>
      <c r="P13" s="16">
        <f t="shared" si="6"/>
        <v>0.85142598733745245</v>
      </c>
      <c r="Q13" s="33">
        <f t="shared" si="7"/>
        <v>11</v>
      </c>
      <c r="R13" s="9" t="s">
        <v>70</v>
      </c>
      <c r="S13" s="35"/>
      <c r="T13" s="35"/>
    </row>
    <row r="14" spans="1:20" s="35" customFormat="1" ht="13.5" customHeight="1" x14ac:dyDescent="0.2">
      <c r="A14" s="15" t="s">
        <v>93</v>
      </c>
      <c r="B14" s="20">
        <v>63828538</v>
      </c>
      <c r="C14" s="30">
        <v>1</v>
      </c>
      <c r="D14" s="23">
        <f t="shared" si="0"/>
        <v>63828538</v>
      </c>
      <c r="E14" s="20">
        <v>26918629</v>
      </c>
      <c r="F14" s="19">
        <f t="shared" si="1"/>
        <v>2.3711660055198207</v>
      </c>
      <c r="G14" s="29">
        <f t="shared" si="2"/>
        <v>2.3711660055198207</v>
      </c>
      <c r="H14" s="28">
        <v>0</v>
      </c>
      <c r="I14" s="28">
        <v>1E-3</v>
      </c>
      <c r="J14" s="28">
        <v>0.747</v>
      </c>
      <c r="K14" s="20">
        <f t="shared" si="3"/>
        <v>0</v>
      </c>
      <c r="L14" s="20">
        <f t="shared" si="4"/>
        <v>63828.538</v>
      </c>
      <c r="M14" s="20">
        <f t="shared" si="5"/>
        <v>47679917.886</v>
      </c>
      <c r="N14" s="17">
        <f>((M14*10000)*387)+((L14*10000)*837)+((K14*10000)*400)</f>
        <v>185055527081880</v>
      </c>
      <c r="O14" s="18">
        <f>N14/N121</f>
        <v>1.2316057474616787E-2</v>
      </c>
      <c r="P14" s="16">
        <f t="shared" si="6"/>
        <v>0.86374204481206929</v>
      </c>
      <c r="Q14" s="33">
        <f t="shared" si="7"/>
        <v>12</v>
      </c>
      <c r="R14" s="8" t="s">
        <v>196</v>
      </c>
      <c r="S14" s="34"/>
    </row>
    <row r="15" spans="1:20" s="34" customFormat="1" x14ac:dyDescent="0.2">
      <c r="A15" s="15" t="s">
        <v>241</v>
      </c>
      <c r="B15" s="20">
        <v>56020665</v>
      </c>
      <c r="C15" s="30">
        <v>0.54</v>
      </c>
      <c r="D15" s="23">
        <f t="shared" si="0"/>
        <v>30251159.100000001</v>
      </c>
      <c r="E15" s="31">
        <v>27332159</v>
      </c>
      <c r="F15" s="64">
        <f t="shared" si="1"/>
        <v>2.0496245832610587</v>
      </c>
      <c r="G15" s="29">
        <f t="shared" si="2"/>
        <v>1.1067972749609718</v>
      </c>
      <c r="H15" s="61">
        <v>0.20799999999999999</v>
      </c>
      <c r="I15" s="61">
        <v>0.51500000000000001</v>
      </c>
      <c r="J15" s="61">
        <v>0.2</v>
      </c>
      <c r="K15" s="20">
        <f t="shared" si="3"/>
        <v>6292241.0927999998</v>
      </c>
      <c r="L15" s="20">
        <f t="shared" si="4"/>
        <v>15579346.936500002</v>
      </c>
      <c r="M15" s="20">
        <f t="shared" si="5"/>
        <v>6050231.8200000003</v>
      </c>
      <c r="N15" s="17">
        <f>((M15*10000)*407)+((L15*10000)*837)+((K15*10000)*347)</f>
        <v>176857653957921.03</v>
      </c>
      <c r="O15" s="18">
        <f>N15/N121</f>
        <v>1.1770461900378025E-2</v>
      </c>
      <c r="P15" s="16">
        <f t="shared" si="6"/>
        <v>0.87551250671244729</v>
      </c>
      <c r="Q15" s="33">
        <f t="shared" si="7"/>
        <v>13</v>
      </c>
      <c r="R15" s="8" t="s">
        <v>190</v>
      </c>
      <c r="S15" s="32"/>
      <c r="T15" s="35"/>
    </row>
    <row r="16" spans="1:20" s="35" customFormat="1" x14ac:dyDescent="0.2">
      <c r="A16" s="15" t="s">
        <v>20</v>
      </c>
      <c r="B16" s="20">
        <v>57362755</v>
      </c>
      <c r="C16" s="30">
        <v>0.8</v>
      </c>
      <c r="D16" s="23">
        <f t="shared" si="0"/>
        <v>45890204</v>
      </c>
      <c r="E16" s="20">
        <v>39205092</v>
      </c>
      <c r="F16" s="19">
        <f t="shared" si="1"/>
        <v>1.4631455271167326</v>
      </c>
      <c r="G16" s="29">
        <f t="shared" si="2"/>
        <v>1.1705164216933861</v>
      </c>
      <c r="H16" s="28">
        <v>0.106</v>
      </c>
      <c r="I16" s="28">
        <v>3.4599999999999999E-2</v>
      </c>
      <c r="J16" s="28">
        <v>0.72099999999999997</v>
      </c>
      <c r="K16" s="20">
        <f t="shared" si="3"/>
        <v>4864361.6239999998</v>
      </c>
      <c r="L16" s="20">
        <f t="shared" si="4"/>
        <v>1587801.0584</v>
      </c>
      <c r="M16" s="20">
        <f t="shared" si="5"/>
        <v>33086837.083999999</v>
      </c>
      <c r="N16" s="17">
        <f>((M16*10000)*403)+((L16*10000)*837)+((K16*10000)*91)</f>
        <v>151056417385168</v>
      </c>
      <c r="O16" s="18">
        <f>N16/N121</f>
        <v>1.0053304258252535E-2</v>
      </c>
      <c r="P16" s="16">
        <f t="shared" si="6"/>
        <v>0.88556581097069986</v>
      </c>
      <c r="Q16" s="33">
        <f t="shared" si="7"/>
        <v>14</v>
      </c>
      <c r="R16" s="8">
        <v>169716</v>
      </c>
      <c r="S16" s="32"/>
    </row>
    <row r="17" spans="1:20" s="35" customFormat="1" x14ac:dyDescent="0.2">
      <c r="A17" s="15" t="s">
        <v>115</v>
      </c>
      <c r="B17" s="20">
        <v>62159626</v>
      </c>
      <c r="C17" s="30">
        <v>0.52</v>
      </c>
      <c r="D17" s="23">
        <f t="shared" si="0"/>
        <v>32323005.52</v>
      </c>
      <c r="E17" s="31">
        <v>11630135</v>
      </c>
      <c r="F17" s="19">
        <f t="shared" si="1"/>
        <v>5.3447037373168929</v>
      </c>
      <c r="G17" s="29">
        <f t="shared" si="2"/>
        <v>2.779245943404784</v>
      </c>
      <c r="H17" s="61">
        <v>3.3300000000000003E-2</v>
      </c>
      <c r="I17" s="61">
        <v>0.33500000000000002</v>
      </c>
      <c r="J17" s="61">
        <v>0.152</v>
      </c>
      <c r="K17" s="20">
        <f t="shared" si="3"/>
        <v>1076356.083816</v>
      </c>
      <c r="L17" s="20">
        <f t="shared" si="4"/>
        <v>10828206.849200001</v>
      </c>
      <c r="M17" s="20">
        <f t="shared" si="5"/>
        <v>4913096.83904</v>
      </c>
      <c r="N17" s="17">
        <f>((M17*10000)*407)+((L17*10000)*837)+((K17*10000)*347)</f>
        <v>114363351073538.33</v>
      </c>
      <c r="O17" s="18">
        <f>N17/N121</f>
        <v>7.6112593177952775E-3</v>
      </c>
      <c r="P17" s="16">
        <f t="shared" si="6"/>
        <v>0.89317707028849513</v>
      </c>
      <c r="Q17" s="33">
        <f t="shared" si="7"/>
        <v>15</v>
      </c>
      <c r="R17" s="8" t="s">
        <v>116</v>
      </c>
      <c r="S17" s="32"/>
    </row>
    <row r="18" spans="1:20" s="35" customFormat="1" x14ac:dyDescent="0.2">
      <c r="A18" s="15" t="s">
        <v>23</v>
      </c>
      <c r="B18" s="20">
        <v>26095060</v>
      </c>
      <c r="C18" s="30">
        <v>1</v>
      </c>
      <c r="D18" s="23">
        <f t="shared" si="0"/>
        <v>26095060</v>
      </c>
      <c r="E18" s="20">
        <v>33682529</v>
      </c>
      <c r="F18" s="19">
        <f t="shared" si="1"/>
        <v>0.77473576880168349</v>
      </c>
      <c r="G18" s="29">
        <f t="shared" si="2"/>
        <v>0.77473576880168349</v>
      </c>
      <c r="H18" s="28">
        <v>0.21199999999999999</v>
      </c>
      <c r="I18" s="28">
        <v>8.9999999999999993E-3</v>
      </c>
      <c r="J18" s="28">
        <v>0.63200000000000001</v>
      </c>
      <c r="K18" s="20">
        <f t="shared" si="3"/>
        <v>5532152.7199999997</v>
      </c>
      <c r="L18" s="20">
        <f t="shared" si="4"/>
        <v>234855.53999999998</v>
      </c>
      <c r="M18" s="20">
        <f t="shared" si="5"/>
        <v>16492077.92</v>
      </c>
      <c r="N18" s="17">
        <f>((M18*10000)*407)+((L18*10000)*837)+((K18*10000)*347)</f>
        <v>88285067942600</v>
      </c>
      <c r="O18" s="18">
        <f>N18/N121</f>
        <v>5.8756633107770418E-3</v>
      </c>
      <c r="P18" s="16">
        <f t="shared" si="6"/>
        <v>0.89905273359927218</v>
      </c>
      <c r="Q18" s="33">
        <f t="shared" si="7"/>
        <v>16</v>
      </c>
      <c r="R18" s="9" t="s">
        <v>72</v>
      </c>
      <c r="S18" s="32"/>
    </row>
    <row r="19" spans="1:20" s="35" customFormat="1" x14ac:dyDescent="0.2">
      <c r="A19" s="15" t="s">
        <v>22</v>
      </c>
      <c r="B19" s="20">
        <v>28333094</v>
      </c>
      <c r="C19" s="30">
        <v>0.75</v>
      </c>
      <c r="D19" s="23">
        <f t="shared" si="0"/>
        <v>21249820.5</v>
      </c>
      <c r="E19" s="20">
        <v>30788819</v>
      </c>
      <c r="F19" s="19">
        <f t="shared" si="1"/>
        <v>0.92023971429368567</v>
      </c>
      <c r="G19" s="29">
        <f t="shared" si="2"/>
        <v>0.69017978572026428</v>
      </c>
      <c r="H19" s="28">
        <v>0.11</v>
      </c>
      <c r="I19" s="28">
        <v>4.2200000000000001E-2</v>
      </c>
      <c r="J19" s="28">
        <v>0.72799999999999998</v>
      </c>
      <c r="K19" s="20">
        <f t="shared" si="3"/>
        <v>2337480.2549999999</v>
      </c>
      <c r="L19" s="20">
        <f t="shared" si="4"/>
        <v>896742.42509999999</v>
      </c>
      <c r="M19" s="20">
        <f t="shared" si="5"/>
        <v>15469869.323999999</v>
      </c>
      <c r="N19" s="17">
        <f>((M19*10000)*412)+((L19*10000)*837)+((K19*10000)*387)</f>
        <v>80287644299817</v>
      </c>
      <c r="O19" s="18">
        <f>N19/N121</f>
        <v>5.3434083125796982E-3</v>
      </c>
      <c r="P19" s="16">
        <f t="shared" si="6"/>
        <v>0.90439614191185191</v>
      </c>
      <c r="Q19" s="33">
        <f t="shared" si="7"/>
        <v>17</v>
      </c>
      <c r="R19" s="9" t="s">
        <v>71</v>
      </c>
      <c r="S19" s="34"/>
      <c r="T19" s="34"/>
    </row>
    <row r="20" spans="1:20" s="35" customFormat="1" x14ac:dyDescent="0.2">
      <c r="A20" s="15" t="s">
        <v>28</v>
      </c>
      <c r="B20" s="20">
        <v>74215641</v>
      </c>
      <c r="C20" s="30">
        <v>0.86</v>
      </c>
      <c r="D20" s="23">
        <f t="shared" si="0"/>
        <v>63825451.259999998</v>
      </c>
      <c r="E20" s="20">
        <v>8845398</v>
      </c>
      <c r="F20" s="19">
        <f t="shared" si="1"/>
        <v>8.3903110973638491</v>
      </c>
      <c r="G20" s="29">
        <f t="shared" si="2"/>
        <v>7.2156675437329101</v>
      </c>
      <c r="H20" s="28">
        <v>1.5299999999999999E-2</v>
      </c>
      <c r="I20" s="28">
        <v>1.6999999999999999E-3</v>
      </c>
      <c r="J20" s="28">
        <v>0.27879999999999999</v>
      </c>
      <c r="K20" s="20">
        <f t="shared" si="3"/>
        <v>976529.40427799989</v>
      </c>
      <c r="L20" s="20">
        <f t="shared" si="4"/>
        <v>108503.267142</v>
      </c>
      <c r="M20" s="20">
        <f t="shared" si="5"/>
        <v>17794535.811287999</v>
      </c>
      <c r="N20" s="17">
        <f>((M20*10000)*403)+((L20*10000)*837)+((K20*10000)*278)</f>
        <v>75334903409362.031</v>
      </c>
      <c r="O20" s="18">
        <f>N20/N121</f>
        <v>5.0137870230910642E-3</v>
      </c>
      <c r="P20" s="16">
        <f t="shared" si="6"/>
        <v>0.90940992893494299</v>
      </c>
      <c r="Q20" s="33">
        <f t="shared" si="7"/>
        <v>18</v>
      </c>
      <c r="R20" s="8">
        <v>170071</v>
      </c>
    </row>
    <row r="21" spans="1:20" s="35" customFormat="1" x14ac:dyDescent="0.2">
      <c r="A21" s="15" t="s">
        <v>27</v>
      </c>
      <c r="B21" s="20">
        <v>8226464</v>
      </c>
      <c r="C21" s="30">
        <v>1</v>
      </c>
      <c r="D21" s="23">
        <f t="shared" si="0"/>
        <v>8226464</v>
      </c>
      <c r="E21" s="20">
        <v>28401712</v>
      </c>
      <c r="F21" s="64">
        <f t="shared" si="1"/>
        <v>0.28964676495557734</v>
      </c>
      <c r="G21" s="29">
        <f t="shared" si="2"/>
        <v>0.28964676495557734</v>
      </c>
      <c r="H21" s="28">
        <v>0</v>
      </c>
      <c r="I21" s="28">
        <v>1</v>
      </c>
      <c r="J21" s="28">
        <v>0</v>
      </c>
      <c r="K21" s="20">
        <f t="shared" si="3"/>
        <v>0</v>
      </c>
      <c r="L21" s="20">
        <f t="shared" si="4"/>
        <v>8226464</v>
      </c>
      <c r="M21" s="20">
        <f t="shared" si="5"/>
        <v>0</v>
      </c>
      <c r="N21" s="17">
        <f>((M21*10000)*400)+((L21*10000)*862)+((K21*10000)*400)</f>
        <v>70912119680000</v>
      </c>
      <c r="O21" s="18">
        <f>N21/N121</f>
        <v>4.7194361357245857E-3</v>
      </c>
      <c r="P21" s="16">
        <f t="shared" si="6"/>
        <v>0.91412936507066755</v>
      </c>
      <c r="Q21" s="33">
        <f t="shared" si="7"/>
        <v>19</v>
      </c>
      <c r="R21" s="8" t="s">
        <v>67</v>
      </c>
      <c r="S21" s="32"/>
    </row>
    <row r="22" spans="1:20" s="38" customFormat="1" x14ac:dyDescent="0.2">
      <c r="A22" s="15" t="s">
        <v>103</v>
      </c>
      <c r="B22" s="20">
        <v>117525115</v>
      </c>
      <c r="C22" s="30">
        <v>0.64</v>
      </c>
      <c r="D22" s="23">
        <f t="shared" si="0"/>
        <v>75216073.600000009</v>
      </c>
      <c r="E22" s="31">
        <v>5132252</v>
      </c>
      <c r="F22" s="19">
        <f t="shared" si="1"/>
        <v>22.899326650367129</v>
      </c>
      <c r="G22" s="29">
        <f t="shared" si="2"/>
        <v>14.655569056234965</v>
      </c>
      <c r="H22" s="61">
        <v>1.09E-2</v>
      </c>
      <c r="I22" s="61">
        <v>3.3E-3</v>
      </c>
      <c r="J22" s="61">
        <v>0.22800000000000001</v>
      </c>
      <c r="K22" s="20">
        <f t="shared" si="3"/>
        <v>819855.20224000013</v>
      </c>
      <c r="L22" s="20">
        <f t="shared" si="4"/>
        <v>248213.04288000002</v>
      </c>
      <c r="M22" s="20">
        <f t="shared" si="5"/>
        <v>17149264.780800004</v>
      </c>
      <c r="N22" s="17">
        <f>((M22*10000)*360)+((L22*10000)*837)+((K22*10000)*336)</f>
        <v>66569609859312.008</v>
      </c>
      <c r="O22" s="18">
        <f>N22/N121</f>
        <v>4.4304277425193548E-3</v>
      </c>
      <c r="P22" s="16">
        <f t="shared" si="6"/>
        <v>0.91855979281318689</v>
      </c>
      <c r="Q22" s="33">
        <f t="shared" si="7"/>
        <v>20</v>
      </c>
      <c r="R22" s="8">
        <v>173944</v>
      </c>
      <c r="S22" s="32"/>
      <c r="T22" s="35"/>
    </row>
    <row r="23" spans="1:20" x14ac:dyDescent="0.2">
      <c r="A23" s="15" t="s">
        <v>24</v>
      </c>
      <c r="B23" s="20">
        <v>23132209</v>
      </c>
      <c r="C23" s="30">
        <v>0.73</v>
      </c>
      <c r="D23" s="23">
        <f t="shared" si="0"/>
        <v>16886512.57</v>
      </c>
      <c r="E23" s="20">
        <v>9442747</v>
      </c>
      <c r="F23" s="19">
        <f t="shared" si="1"/>
        <v>2.4497330067193372</v>
      </c>
      <c r="G23" s="29">
        <f t="shared" si="2"/>
        <v>1.788305094905116</v>
      </c>
      <c r="H23" s="28">
        <v>0.16889999999999999</v>
      </c>
      <c r="I23" s="28">
        <v>6.9000000000000006E-2</v>
      </c>
      <c r="J23" s="28">
        <v>0.66269999999999996</v>
      </c>
      <c r="K23" s="20">
        <f t="shared" si="3"/>
        <v>2852131.9730730001</v>
      </c>
      <c r="L23" s="20">
        <f t="shared" si="4"/>
        <v>1165169.36733</v>
      </c>
      <c r="M23" s="20">
        <f t="shared" si="5"/>
        <v>11190691.880138999</v>
      </c>
      <c r="N23" s="17">
        <f>((M23*10000)*407)+((L23*10000)*837)+((K23*10000)*347)</f>
        <v>65195481503281.141</v>
      </c>
      <c r="O23" s="18">
        <f>N23/N121</f>
        <v>4.3389749549304244E-3</v>
      </c>
      <c r="P23" s="16">
        <f t="shared" si="6"/>
        <v>0.9228987677681173</v>
      </c>
      <c r="Q23" s="33">
        <f t="shared" si="7"/>
        <v>21</v>
      </c>
      <c r="R23" s="9">
        <v>169705</v>
      </c>
      <c r="S23" s="32"/>
      <c r="T23" s="34"/>
    </row>
    <row r="24" spans="1:20" s="38" customFormat="1" x14ac:dyDescent="0.2">
      <c r="A24" s="15" t="s">
        <v>26</v>
      </c>
      <c r="B24" s="20">
        <v>91490303</v>
      </c>
      <c r="C24" s="30">
        <v>0.72</v>
      </c>
      <c r="D24" s="23">
        <f t="shared" si="0"/>
        <v>65873018.159999996</v>
      </c>
      <c r="E24" s="20">
        <v>7389574</v>
      </c>
      <c r="F24" s="19">
        <f t="shared" si="1"/>
        <v>12.380998282174318</v>
      </c>
      <c r="G24" s="29">
        <f t="shared" si="2"/>
        <v>8.9143187631655074</v>
      </c>
      <c r="H24" s="28">
        <v>1.5699999999999999E-2</v>
      </c>
      <c r="I24" s="28">
        <v>5.0000000000000001E-4</v>
      </c>
      <c r="J24" s="28">
        <v>0.20119999999999999</v>
      </c>
      <c r="K24" s="20">
        <f t="shared" si="3"/>
        <v>1034206.3851119998</v>
      </c>
      <c r="L24" s="20">
        <f t="shared" si="4"/>
        <v>32936.509079999996</v>
      </c>
      <c r="M24" s="20">
        <f t="shared" si="5"/>
        <v>13253651.253791999</v>
      </c>
      <c r="N24" s="17">
        <f>((M24*10000)*403)+((L24*10000)*837)+((K24*10000)*278)</f>
        <v>56562986884392.719</v>
      </c>
      <c r="O24" s="18">
        <f>N24/N121</f>
        <v>3.7644538825146396E-3</v>
      </c>
      <c r="P24" s="16">
        <f t="shared" si="6"/>
        <v>0.92666322165063197</v>
      </c>
      <c r="Q24" s="33">
        <f t="shared" si="7"/>
        <v>22</v>
      </c>
      <c r="R24" s="8">
        <v>168482</v>
      </c>
      <c r="S24" s="36"/>
      <c r="T24" s="35"/>
    </row>
    <row r="25" spans="1:20" x14ac:dyDescent="0.2">
      <c r="A25" s="15" t="s">
        <v>232</v>
      </c>
      <c r="B25" s="20">
        <v>14184449</v>
      </c>
      <c r="C25" s="30">
        <v>1</v>
      </c>
      <c r="D25" s="23">
        <f t="shared" si="0"/>
        <v>14184449</v>
      </c>
      <c r="E25" s="20">
        <v>13785213</v>
      </c>
      <c r="F25" s="19">
        <f t="shared" si="1"/>
        <v>1.0289611774587741</v>
      </c>
      <c r="G25" s="29">
        <f t="shared" si="2"/>
        <v>1.0289611774587741</v>
      </c>
      <c r="H25" s="28">
        <v>0.20499999999999999</v>
      </c>
      <c r="I25" s="28">
        <v>6.0400000000000002E-2</v>
      </c>
      <c r="J25" s="28">
        <v>0.63</v>
      </c>
      <c r="K25" s="20">
        <f t="shared" si="3"/>
        <v>2907812.0449999999</v>
      </c>
      <c r="L25" s="20">
        <f t="shared" si="4"/>
        <v>856740.71960000007</v>
      </c>
      <c r="M25" s="20">
        <f t="shared" si="5"/>
        <v>8936202.8699999992</v>
      </c>
      <c r="N25" s="17">
        <f>((M25*10000)*407)+((L25*10000)*837)+((K25*10000)*347)</f>
        <v>53631373300101.992</v>
      </c>
      <c r="O25" s="18">
        <f>N25/N121</f>
        <v>3.5693453009616205E-3</v>
      </c>
      <c r="P25" s="16">
        <f t="shared" si="6"/>
        <v>0.93023256695159362</v>
      </c>
      <c r="Q25" s="33">
        <f t="shared" si="7"/>
        <v>23</v>
      </c>
      <c r="R25" s="9">
        <v>173756</v>
      </c>
      <c r="S25" s="32"/>
    </row>
    <row r="26" spans="1:20" x14ac:dyDescent="0.2">
      <c r="A26" s="15" t="s">
        <v>186</v>
      </c>
      <c r="B26" s="20">
        <v>295179339</v>
      </c>
      <c r="C26" s="30">
        <v>0.7</v>
      </c>
      <c r="D26" s="23">
        <f t="shared" si="0"/>
        <v>206625537.29999998</v>
      </c>
      <c r="E26" s="31">
        <v>20456197</v>
      </c>
      <c r="F26" s="19">
        <f t="shared" si="1"/>
        <v>14.429824810545187</v>
      </c>
      <c r="G26" s="29">
        <f t="shared" si="2"/>
        <v>10.10087736738163</v>
      </c>
      <c r="H26" s="61">
        <v>1.9199999999999998E-2</v>
      </c>
      <c r="I26" s="61">
        <v>2.8E-3</v>
      </c>
      <c r="J26" s="61">
        <v>4.9700000000000001E-2</v>
      </c>
      <c r="K26" s="20">
        <f t="shared" si="3"/>
        <v>3967210.3161599995</v>
      </c>
      <c r="L26" s="20">
        <f t="shared" si="4"/>
        <v>578551.50443999993</v>
      </c>
      <c r="M26" s="20">
        <f t="shared" si="5"/>
        <v>10269289.203809999</v>
      </c>
      <c r="N26" s="17">
        <f>((M26*10000)*357)+((L26*10000)*837)+((K26*10000)*244)</f>
        <v>51183831721194.891</v>
      </c>
      <c r="O26" s="18">
        <f>N26/N121</f>
        <v>3.4064533126342655E-3</v>
      </c>
      <c r="P26" s="16">
        <f t="shared" si="6"/>
        <v>0.93363902026422785</v>
      </c>
      <c r="Q26" s="33">
        <f t="shared" si="7"/>
        <v>24</v>
      </c>
      <c r="R26" s="8" t="s">
        <v>237</v>
      </c>
      <c r="S26" s="36"/>
    </row>
    <row r="27" spans="1:20" x14ac:dyDescent="0.2">
      <c r="A27" s="15" t="s">
        <v>32</v>
      </c>
      <c r="B27" s="20">
        <v>13995375</v>
      </c>
      <c r="C27" s="30">
        <v>1</v>
      </c>
      <c r="D27" s="23">
        <f t="shared" si="0"/>
        <v>13995375</v>
      </c>
      <c r="E27" s="20">
        <v>7137279</v>
      </c>
      <c r="F27" s="19">
        <f t="shared" si="1"/>
        <v>1.9608838326202465</v>
      </c>
      <c r="G27" s="29">
        <f t="shared" si="2"/>
        <v>1.9608838326202465</v>
      </c>
      <c r="H27" s="28">
        <v>0.23100000000000001</v>
      </c>
      <c r="I27" s="28">
        <v>3.8899999999999997E-2</v>
      </c>
      <c r="J27" s="28">
        <v>0.61599999999999999</v>
      </c>
      <c r="K27" s="20">
        <f t="shared" si="3"/>
        <v>3232931.625</v>
      </c>
      <c r="L27" s="20">
        <f t="shared" si="4"/>
        <v>544420.08749999991</v>
      </c>
      <c r="M27" s="20">
        <f t="shared" si="5"/>
        <v>8621151</v>
      </c>
      <c r="N27" s="17">
        <f>((M27*10000)*407)+((L27*10000)*837)+((K27*10000)*347)</f>
        <v>50863153441125</v>
      </c>
      <c r="O27" s="18">
        <f>N27/N121</f>
        <v>3.3851111123202235E-3</v>
      </c>
      <c r="P27" s="16">
        <f t="shared" si="6"/>
        <v>0.93702413137654805</v>
      </c>
      <c r="Q27" s="33">
        <f t="shared" si="7"/>
        <v>25</v>
      </c>
      <c r="R27" s="8" t="s">
        <v>216</v>
      </c>
      <c r="S27" s="32"/>
    </row>
    <row r="28" spans="1:20" x14ac:dyDescent="0.2">
      <c r="A28" s="15" t="s">
        <v>31</v>
      </c>
      <c r="B28" s="20">
        <v>4446766</v>
      </c>
      <c r="C28" s="30">
        <v>1</v>
      </c>
      <c r="D28" s="23">
        <f t="shared" si="0"/>
        <v>4446766</v>
      </c>
      <c r="E28" s="20">
        <v>25388040</v>
      </c>
      <c r="F28" s="19">
        <f t="shared" si="1"/>
        <v>0.17515200070584416</v>
      </c>
      <c r="G28" s="29">
        <f t="shared" si="2"/>
        <v>0.17515200070584416</v>
      </c>
      <c r="H28" s="28">
        <v>0</v>
      </c>
      <c r="I28" s="28">
        <v>1</v>
      </c>
      <c r="J28" s="28">
        <v>0</v>
      </c>
      <c r="K28" s="20">
        <f t="shared" si="3"/>
        <v>0</v>
      </c>
      <c r="L28" s="20">
        <f t="shared" si="4"/>
        <v>4446766</v>
      </c>
      <c r="M28" s="20">
        <f t="shared" si="5"/>
        <v>0</v>
      </c>
      <c r="N28" s="17">
        <f>((M28*10000)*400)+((L28*10000)*884)+((K28*10000)*400)</f>
        <v>39309411440000</v>
      </c>
      <c r="O28" s="18">
        <f>N28/N121</f>
        <v>2.6161713633886035E-3</v>
      </c>
      <c r="P28" s="16">
        <f t="shared" si="6"/>
        <v>0.93964030273993671</v>
      </c>
      <c r="Q28" s="33">
        <f t="shared" si="7"/>
        <v>26</v>
      </c>
      <c r="R28" s="9">
        <v>171024</v>
      </c>
      <c r="S28" s="32"/>
    </row>
    <row r="29" spans="1:20" x14ac:dyDescent="0.2">
      <c r="A29" s="15" t="s">
        <v>160</v>
      </c>
      <c r="B29" s="20">
        <v>99521435</v>
      </c>
      <c r="C29" s="30">
        <v>0.9</v>
      </c>
      <c r="D29" s="23">
        <f t="shared" si="0"/>
        <v>89569291.5</v>
      </c>
      <c r="E29" s="31">
        <v>5152420</v>
      </c>
      <c r="F29" s="64">
        <f t="shared" si="1"/>
        <v>19.315474087904324</v>
      </c>
      <c r="G29" s="29">
        <f t="shared" si="2"/>
        <v>17.383926679113891</v>
      </c>
      <c r="H29" s="61">
        <v>1.0999999999999999E-2</v>
      </c>
      <c r="I29" s="61">
        <v>1E-3</v>
      </c>
      <c r="J29" s="61">
        <v>9.3399999999999997E-2</v>
      </c>
      <c r="K29" s="20">
        <f t="shared" si="3"/>
        <v>985262.20649999997</v>
      </c>
      <c r="L29" s="20">
        <f t="shared" si="4"/>
        <v>89569.291500000007</v>
      </c>
      <c r="M29" s="20">
        <f t="shared" si="5"/>
        <v>8365771.8261000002</v>
      </c>
      <c r="N29" s="17">
        <f>((M29*10000)*384)+((L29*10000)*837)+((K29*10000)*278)</f>
        <v>35613287716149</v>
      </c>
      <c r="O29" s="18">
        <f>N29/N121</f>
        <v>2.3701821031159183E-3</v>
      </c>
      <c r="P29" s="16">
        <f t="shared" si="6"/>
        <v>0.94201048484305261</v>
      </c>
      <c r="Q29" s="33">
        <f t="shared" si="7"/>
        <v>27</v>
      </c>
      <c r="R29" s="8">
        <v>171327</v>
      </c>
      <c r="S29" s="36"/>
    </row>
    <row r="30" spans="1:20" x14ac:dyDescent="0.2">
      <c r="A30" s="15" t="s">
        <v>30</v>
      </c>
      <c r="B30" s="20">
        <v>14038688</v>
      </c>
      <c r="C30" s="30">
        <v>0.75</v>
      </c>
      <c r="D30" s="23">
        <f t="shared" si="0"/>
        <v>10529016</v>
      </c>
      <c r="E30" s="20">
        <v>3798576</v>
      </c>
      <c r="F30" s="19">
        <f t="shared" si="1"/>
        <v>3.6957765225705632</v>
      </c>
      <c r="G30" s="29">
        <f t="shared" si="2"/>
        <v>2.7718323919279224</v>
      </c>
      <c r="H30" s="28">
        <v>0.13</v>
      </c>
      <c r="I30" s="28">
        <v>2.0899999999999998E-2</v>
      </c>
      <c r="J30" s="28">
        <v>0.72099999999999997</v>
      </c>
      <c r="K30" s="20">
        <f t="shared" si="3"/>
        <v>1368772.08</v>
      </c>
      <c r="L30" s="20">
        <f t="shared" si="4"/>
        <v>220056.43439999997</v>
      </c>
      <c r="M30" s="20">
        <f t="shared" si="5"/>
        <v>7591420.5359999994</v>
      </c>
      <c r="N30" s="17">
        <f>((M30*10000)*382)+((L30*10000)*837)+((K30*10000)*332)</f>
        <v>35385422109048</v>
      </c>
      <c r="O30" s="18">
        <f>N30/N121</f>
        <v>2.3550168932040703E-3</v>
      </c>
      <c r="P30" s="16">
        <f t="shared" si="6"/>
        <v>0.94436550173625666</v>
      </c>
      <c r="Q30" s="33">
        <f t="shared" si="7"/>
        <v>28</v>
      </c>
      <c r="R30" s="8" t="s">
        <v>230</v>
      </c>
      <c r="S30" s="32"/>
    </row>
    <row r="31" spans="1:20" s="38" customFormat="1" x14ac:dyDescent="0.2">
      <c r="A31" s="15" t="s">
        <v>33</v>
      </c>
      <c r="B31" s="20">
        <v>43536725</v>
      </c>
      <c r="C31" s="30">
        <v>0.65</v>
      </c>
      <c r="D31" s="23">
        <f t="shared" si="0"/>
        <v>28298871.25</v>
      </c>
      <c r="E31" s="20">
        <v>6676397</v>
      </c>
      <c r="F31" s="19">
        <f t="shared" si="1"/>
        <v>6.5209910375311715</v>
      </c>
      <c r="G31" s="29">
        <f t="shared" si="2"/>
        <v>4.2386441743952616</v>
      </c>
      <c r="H31" s="28">
        <v>1.2999999999999999E-2</v>
      </c>
      <c r="I31" s="28">
        <v>3.5000000000000001E-3</v>
      </c>
      <c r="J31" s="28">
        <v>0.31900000000000001</v>
      </c>
      <c r="K31" s="20">
        <f t="shared" si="3"/>
        <v>367885.32624999998</v>
      </c>
      <c r="L31" s="20">
        <f t="shared" si="4"/>
        <v>99046.049375000002</v>
      </c>
      <c r="M31" s="20">
        <f t="shared" si="5"/>
        <v>9027339.9287500009</v>
      </c>
      <c r="N31" s="17">
        <f>((M31*10000)*360)+((L31*10000)*837)+((K31*10000)*336)</f>
        <v>34563533872968.754</v>
      </c>
      <c r="O31" s="18">
        <f>N31/N121</f>
        <v>2.3003175123593976E-3</v>
      </c>
      <c r="P31" s="16">
        <f t="shared" si="6"/>
        <v>0.94666581924861604</v>
      </c>
      <c r="Q31" s="33">
        <f t="shared" si="7"/>
        <v>29</v>
      </c>
      <c r="R31" s="8" t="s">
        <v>221</v>
      </c>
      <c r="S31" s="32"/>
      <c r="T31" s="35"/>
    </row>
    <row r="32" spans="1:20" x14ac:dyDescent="0.2">
      <c r="A32" s="15" t="s">
        <v>29</v>
      </c>
      <c r="B32" s="20">
        <v>12824590</v>
      </c>
      <c r="C32" s="30">
        <v>0.75</v>
      </c>
      <c r="D32" s="23">
        <f t="shared" si="0"/>
        <v>9618442.5</v>
      </c>
      <c r="E32" s="20">
        <v>4249344</v>
      </c>
      <c r="F32" s="19">
        <f t="shared" si="1"/>
        <v>3.0180164279474666</v>
      </c>
      <c r="G32" s="29">
        <f t="shared" si="2"/>
        <v>2.2635123209605998</v>
      </c>
      <c r="H32" s="28">
        <v>0.10299999999999999</v>
      </c>
      <c r="I32" s="28">
        <v>1.6299999999999999E-2</v>
      </c>
      <c r="J32" s="28">
        <v>0.75900000000000001</v>
      </c>
      <c r="K32" s="20">
        <f t="shared" si="3"/>
        <v>990699.5774999999</v>
      </c>
      <c r="L32" s="20">
        <f t="shared" si="4"/>
        <v>156780.61275</v>
      </c>
      <c r="M32" s="20">
        <f t="shared" si="5"/>
        <v>7300397.8574999999</v>
      </c>
      <c r="N32" s="17">
        <f>((M32*10000)*386)+((L32*10000)*862)+((K32*10000)*305)</f>
        <v>32552618323230</v>
      </c>
      <c r="O32" s="18">
        <f>N32/N121</f>
        <v>2.166484430593486E-3</v>
      </c>
      <c r="P32" s="16">
        <f t="shared" si="6"/>
        <v>0.94883230367920957</v>
      </c>
      <c r="Q32" s="33">
        <f t="shared" si="7"/>
        <v>30</v>
      </c>
      <c r="R32" s="8" t="s">
        <v>192</v>
      </c>
      <c r="S32" s="32"/>
    </row>
    <row r="33" spans="1:20" x14ac:dyDescent="0.2">
      <c r="A33" s="15" t="s">
        <v>96</v>
      </c>
      <c r="B33" s="20">
        <v>87481153</v>
      </c>
      <c r="C33" s="30">
        <v>0.77</v>
      </c>
      <c r="D33" s="23">
        <f t="shared" si="0"/>
        <v>67360487.810000002</v>
      </c>
      <c r="E33" s="31">
        <v>4722635</v>
      </c>
      <c r="F33" s="19">
        <f t="shared" si="1"/>
        <v>18.523801437121438</v>
      </c>
      <c r="G33" s="29">
        <f t="shared" si="2"/>
        <v>14.263327106583507</v>
      </c>
      <c r="H33" s="61">
        <v>2.7000000000000001E-3</v>
      </c>
      <c r="I33" s="61">
        <v>1.2999999999999999E-3</v>
      </c>
      <c r="J33" s="61">
        <v>0.128</v>
      </c>
      <c r="K33" s="20">
        <f t="shared" si="3"/>
        <v>181873.317087</v>
      </c>
      <c r="L33" s="20">
        <f t="shared" si="4"/>
        <v>87568.634153000006</v>
      </c>
      <c r="M33" s="20">
        <f t="shared" si="5"/>
        <v>8622142.4396800008</v>
      </c>
      <c r="N33" s="17">
        <f>((M33*10000)*360)+((L33*10000)*837)+((K33*10000)*336)</f>
        <v>32383756596120.93</v>
      </c>
      <c r="O33" s="18">
        <f>N33/N121</f>
        <v>2.1552461240747179E-3</v>
      </c>
      <c r="P33" s="16">
        <f t="shared" si="6"/>
        <v>0.95098754980328426</v>
      </c>
      <c r="Q33" s="33">
        <f t="shared" si="7"/>
        <v>31</v>
      </c>
      <c r="R33" s="8">
        <v>171689</v>
      </c>
      <c r="S33" s="32"/>
    </row>
    <row r="34" spans="1:20" x14ac:dyDescent="0.2">
      <c r="A34" s="15" t="s">
        <v>35</v>
      </c>
      <c r="B34" s="20">
        <v>6549085</v>
      </c>
      <c r="C34" s="30">
        <v>0.85</v>
      </c>
      <c r="D34" s="23">
        <f t="shared" si="0"/>
        <v>5566722.25</v>
      </c>
      <c r="E34" s="20">
        <v>12985662</v>
      </c>
      <c r="F34" s="19">
        <f t="shared" si="1"/>
        <v>0.50433200864153094</v>
      </c>
      <c r="G34" s="29">
        <f t="shared" si="2"/>
        <v>0.42868220734530132</v>
      </c>
      <c r="H34" s="28">
        <v>0.17699999999999999</v>
      </c>
      <c r="I34" s="28">
        <v>0.497</v>
      </c>
      <c r="J34" s="28">
        <v>0.23400000000000001</v>
      </c>
      <c r="K34" s="20">
        <f t="shared" si="3"/>
        <v>985309.83824999991</v>
      </c>
      <c r="L34" s="20">
        <f t="shared" si="4"/>
        <v>2766660.9582500001</v>
      </c>
      <c r="M34" s="20">
        <f t="shared" si="5"/>
        <v>1302613.0065000001</v>
      </c>
      <c r="N34" s="17">
        <f>((M34*10000)*407)+((L34*10000)*837)+((K34*10000)*347)</f>
        <v>31877612295735</v>
      </c>
      <c r="O34" s="18">
        <f>N34/N121</f>
        <v>2.1215605466034506E-3</v>
      </c>
      <c r="P34" s="16">
        <f t="shared" si="6"/>
        <v>0.95310911034988766</v>
      </c>
      <c r="Q34" s="33">
        <f t="shared" si="7"/>
        <v>32</v>
      </c>
      <c r="R34" s="9" t="s">
        <v>194</v>
      </c>
      <c r="S34" s="36"/>
    </row>
    <row r="35" spans="1:20" x14ac:dyDescent="0.2">
      <c r="A35" s="15" t="s">
        <v>56</v>
      </c>
      <c r="B35" s="31">
        <v>183014805</v>
      </c>
      <c r="C35" s="30">
        <v>0.91</v>
      </c>
      <c r="D35" s="23">
        <f t="shared" ref="D35:D66" si="8">B35*C35</f>
        <v>166543472.55000001</v>
      </c>
      <c r="E35" s="31">
        <v>4999181</v>
      </c>
      <c r="F35" s="19">
        <f t="shared" ref="F35:F66" si="9">B35/E35</f>
        <v>36.608957547246241</v>
      </c>
      <c r="G35" s="29">
        <f t="shared" si="2"/>
        <v>33.314151367994079</v>
      </c>
      <c r="H35" s="28">
        <v>8.8000000000000005E-3</v>
      </c>
      <c r="I35" s="28">
        <v>2E-3</v>
      </c>
      <c r="J35" s="28">
        <v>3.8899999999999997E-2</v>
      </c>
      <c r="K35" s="20">
        <f t="shared" ref="K35:K66" si="10">D35*H35</f>
        <v>1465582.5584400003</v>
      </c>
      <c r="L35" s="20">
        <f t="shared" ref="L35:L66" si="11">D35*I35</f>
        <v>333086.94510000001</v>
      </c>
      <c r="M35" s="20">
        <f t="shared" ref="M35:M66" si="12">D35*J35</f>
        <v>6478541.0821949998</v>
      </c>
      <c r="N35" s="17">
        <f>((M35*10000)*357)+((L35*10000)*837)+((K35*10000)*244)</f>
        <v>29492350836516.75</v>
      </c>
      <c r="O35" s="18">
        <f>N35/N121</f>
        <v>1.9628135062585168E-3</v>
      </c>
      <c r="P35" s="16">
        <f t="shared" si="6"/>
        <v>0.95507192385614614</v>
      </c>
      <c r="Q35" s="33">
        <f t="shared" si="7"/>
        <v>33</v>
      </c>
      <c r="R35" s="8">
        <v>170457</v>
      </c>
      <c r="S35" s="32"/>
    </row>
    <row r="36" spans="1:20" x14ac:dyDescent="0.2">
      <c r="A36" s="15" t="s">
        <v>36</v>
      </c>
      <c r="B36" s="20">
        <v>8445973</v>
      </c>
      <c r="C36" s="30">
        <v>1</v>
      </c>
      <c r="D36" s="23">
        <f t="shared" si="8"/>
        <v>8445973</v>
      </c>
      <c r="E36" s="20">
        <v>14250038</v>
      </c>
      <c r="F36" s="19">
        <f t="shared" si="9"/>
        <v>0.59269827912037854</v>
      </c>
      <c r="G36" s="29">
        <f t="shared" si="2"/>
        <v>0.59269827912037854</v>
      </c>
      <c r="H36" s="28">
        <v>0.23799999999999999</v>
      </c>
      <c r="I36" s="28">
        <v>2.07E-2</v>
      </c>
      <c r="J36" s="28">
        <v>0.59599999999999997</v>
      </c>
      <c r="K36" s="20">
        <f t="shared" si="10"/>
        <v>2010141.574</v>
      </c>
      <c r="L36" s="20">
        <f t="shared" si="11"/>
        <v>174831.64110000001</v>
      </c>
      <c r="M36" s="20">
        <f t="shared" si="12"/>
        <v>5033799.9079999998</v>
      </c>
      <c r="N36" s="17">
        <f>((M36*10000)*407)+((L36*10000)*837)+((K36*10000)*347)</f>
        <v>28926097723347</v>
      </c>
      <c r="O36" s="18">
        <f>N36/N121</f>
        <v>1.9251274884618495E-3</v>
      </c>
      <c r="P36" s="16">
        <f t="shared" ref="P36:P67" si="13">P35+O36</f>
        <v>0.956997051344608</v>
      </c>
      <c r="Q36" s="33">
        <f t="shared" ref="Q36:Q67" si="14">Q35+1</f>
        <v>34</v>
      </c>
      <c r="R36" s="8" t="s">
        <v>207</v>
      </c>
      <c r="S36" s="32"/>
      <c r="T36" s="34"/>
    </row>
    <row r="37" spans="1:20" x14ac:dyDescent="0.2">
      <c r="A37" s="15" t="s">
        <v>34</v>
      </c>
      <c r="B37" s="20">
        <v>40888461</v>
      </c>
      <c r="C37" s="30">
        <v>0.18</v>
      </c>
      <c r="D37" s="23">
        <f t="shared" si="8"/>
        <v>7359922.9799999995</v>
      </c>
      <c r="E37" s="20">
        <v>4274064</v>
      </c>
      <c r="F37" s="19">
        <f t="shared" si="9"/>
        <v>9.5666468728591809</v>
      </c>
      <c r="G37" s="29">
        <f t="shared" si="2"/>
        <v>1.7219964371146523</v>
      </c>
      <c r="H37" s="28">
        <v>0</v>
      </c>
      <c r="I37" s="28">
        <v>0</v>
      </c>
      <c r="J37" s="28">
        <v>0.99980000000000002</v>
      </c>
      <c r="K37" s="20">
        <f t="shared" si="10"/>
        <v>0</v>
      </c>
      <c r="L37" s="20">
        <f t="shared" si="11"/>
        <v>0</v>
      </c>
      <c r="M37" s="20">
        <f t="shared" si="12"/>
        <v>7358450.9954039995</v>
      </c>
      <c r="N37" s="17">
        <f>((M37*10000)*384)+((L37*10000)*837)+((K37*10000)*278)</f>
        <v>28256451822351.359</v>
      </c>
      <c r="O37" s="18">
        <f>N37/N121</f>
        <v>1.8805603386211713E-3</v>
      </c>
      <c r="P37" s="16">
        <f t="shared" si="13"/>
        <v>0.95887761168322916</v>
      </c>
      <c r="Q37" s="33">
        <f t="shared" si="14"/>
        <v>35</v>
      </c>
      <c r="R37" s="8" t="s">
        <v>195</v>
      </c>
      <c r="S37" s="32"/>
    </row>
    <row r="38" spans="1:20" x14ac:dyDescent="0.2">
      <c r="A38" s="15" t="s">
        <v>164</v>
      </c>
      <c r="B38" s="20">
        <v>75992531</v>
      </c>
      <c r="C38" s="30">
        <v>0.74</v>
      </c>
      <c r="D38" s="23">
        <f t="shared" si="8"/>
        <v>56234472.939999998</v>
      </c>
      <c r="E38" s="31">
        <v>3924013</v>
      </c>
      <c r="F38" s="64">
        <f t="shared" si="9"/>
        <v>19.366024271581161</v>
      </c>
      <c r="G38" s="29">
        <f t="shared" si="2"/>
        <v>14.330857960970057</v>
      </c>
      <c r="H38" s="61">
        <v>9.4000000000000004E-3</v>
      </c>
      <c r="I38" s="61">
        <v>1.1999999999999999E-3</v>
      </c>
      <c r="J38" s="61">
        <v>0.11799999999999999</v>
      </c>
      <c r="K38" s="20">
        <f t="shared" si="10"/>
        <v>528604.045636</v>
      </c>
      <c r="L38" s="20">
        <f t="shared" si="11"/>
        <v>67481.367527999988</v>
      </c>
      <c r="M38" s="20">
        <f t="shared" si="12"/>
        <v>6635667.8069199994</v>
      </c>
      <c r="N38" s="17">
        <f>((M38*10000)*384)+((L38*10000)*837)+((K38*10000)*278)</f>
        <v>27515302671650.234</v>
      </c>
      <c r="O38" s="18">
        <f>N38/N121</f>
        <v>1.8312344109861665E-3</v>
      </c>
      <c r="P38" s="16">
        <f t="shared" si="13"/>
        <v>0.96070884609421536</v>
      </c>
      <c r="Q38" s="33">
        <f t="shared" si="14"/>
        <v>36</v>
      </c>
      <c r="R38" s="8">
        <v>169097</v>
      </c>
      <c r="S38" s="32"/>
    </row>
    <row r="39" spans="1:20" x14ac:dyDescent="0.2">
      <c r="A39" s="15" t="s">
        <v>191</v>
      </c>
      <c r="B39" s="20">
        <v>2911115</v>
      </c>
      <c r="C39" s="30">
        <v>1</v>
      </c>
      <c r="D39" s="23">
        <f t="shared" si="8"/>
        <v>2911115</v>
      </c>
      <c r="E39" s="20">
        <v>9206504</v>
      </c>
      <c r="F39" s="19">
        <f t="shared" si="9"/>
        <v>0.31620200241046981</v>
      </c>
      <c r="G39" s="29">
        <v>1.1779999999999999</v>
      </c>
      <c r="H39" s="28">
        <v>0</v>
      </c>
      <c r="I39" s="28">
        <v>1</v>
      </c>
      <c r="J39" s="28">
        <v>0</v>
      </c>
      <c r="K39" s="20">
        <f t="shared" si="10"/>
        <v>0</v>
      </c>
      <c r="L39" s="20">
        <f t="shared" si="11"/>
        <v>2911115</v>
      </c>
      <c r="M39" s="20">
        <f t="shared" si="12"/>
        <v>0</v>
      </c>
      <c r="N39" s="17">
        <f>((M39*10000)*400)+((L39*10000)*884)+((K39*10000)*400)</f>
        <v>25734256600000</v>
      </c>
      <c r="O39" s="18">
        <f>N39/N121</f>
        <v>1.7126999033749504E-3</v>
      </c>
      <c r="P39" s="16">
        <f t="shared" si="13"/>
        <v>0.96242154599759033</v>
      </c>
      <c r="Q39" s="33">
        <f t="shared" si="14"/>
        <v>37</v>
      </c>
      <c r="R39" s="8" t="s">
        <v>212</v>
      </c>
      <c r="S39" s="32"/>
    </row>
    <row r="40" spans="1:20" s="35" customFormat="1" x14ac:dyDescent="0.2">
      <c r="A40" s="15" t="s">
        <v>137</v>
      </c>
      <c r="B40" s="20">
        <v>77000008</v>
      </c>
      <c r="C40" s="30">
        <v>0.48</v>
      </c>
      <c r="D40" s="23">
        <f t="shared" si="8"/>
        <v>36960003.839999996</v>
      </c>
      <c r="E40" s="31">
        <v>6912217</v>
      </c>
      <c r="F40" s="19">
        <f t="shared" si="9"/>
        <v>11.139697726503668</v>
      </c>
      <c r="G40" s="29">
        <f t="shared" ref="G40:G56" si="15">D40/E40</f>
        <v>5.34705490872176</v>
      </c>
      <c r="H40" s="61">
        <v>6.3E-3</v>
      </c>
      <c r="I40" s="63">
        <v>3.5000000000000001E-3</v>
      </c>
      <c r="J40" s="61">
        <v>0.17199999999999999</v>
      </c>
      <c r="K40" s="20">
        <f t="shared" si="10"/>
        <v>232848.02419199998</v>
      </c>
      <c r="L40" s="20">
        <f t="shared" si="11"/>
        <v>129360.01344</v>
      </c>
      <c r="M40" s="20">
        <f t="shared" si="12"/>
        <v>6357120.6604799991</v>
      </c>
      <c r="N40" s="17">
        <f>((M40*10000)*360)+((L40*10000)*837)+((K40*10000)*336)</f>
        <v>24750747051505.918</v>
      </c>
      <c r="O40" s="18">
        <f>N40/N121</f>
        <v>1.6472440895600622E-3</v>
      </c>
      <c r="P40" s="16">
        <f t="shared" si="13"/>
        <v>0.96406879008715041</v>
      </c>
      <c r="Q40" s="33">
        <f t="shared" si="14"/>
        <v>38</v>
      </c>
      <c r="R40" s="8" t="s">
        <v>138</v>
      </c>
      <c r="S40" s="32"/>
    </row>
    <row r="41" spans="1:20" s="38" customFormat="1" x14ac:dyDescent="0.2">
      <c r="A41" s="15" t="s">
        <v>240</v>
      </c>
      <c r="B41" s="20">
        <v>55026131</v>
      </c>
      <c r="C41" s="30">
        <v>0.71</v>
      </c>
      <c r="D41" s="23">
        <f t="shared" si="8"/>
        <v>39068553.009999998</v>
      </c>
      <c r="E41" s="31">
        <v>5518210</v>
      </c>
      <c r="F41" s="19">
        <f t="shared" si="9"/>
        <v>9.9717355809220738</v>
      </c>
      <c r="G41" s="29">
        <f t="shared" si="15"/>
        <v>7.0799322624546726</v>
      </c>
      <c r="H41" s="61">
        <v>8.2000000000000007E-3</v>
      </c>
      <c r="I41" s="61">
        <v>3.8E-3</v>
      </c>
      <c r="J41" s="61">
        <v>0.15</v>
      </c>
      <c r="K41" s="20">
        <f t="shared" si="10"/>
        <v>320362.13468200003</v>
      </c>
      <c r="L41" s="20">
        <f t="shared" si="11"/>
        <v>148460.50143799998</v>
      </c>
      <c r="M41" s="20">
        <f t="shared" si="12"/>
        <v>5860282.9514999995</v>
      </c>
      <c r="N41" s="17">
        <f>((M41*10000)*360)+((L41*10000)*837)+((K41*10000)*336)</f>
        <v>23416049794967.574</v>
      </c>
      <c r="O41" s="18">
        <f>N41/N121</f>
        <v>1.5584155720769486E-3</v>
      </c>
      <c r="P41" s="16">
        <f t="shared" si="13"/>
        <v>0.96562720565922733</v>
      </c>
      <c r="Q41" s="33">
        <f t="shared" si="14"/>
        <v>39</v>
      </c>
      <c r="R41" s="8">
        <v>169910</v>
      </c>
      <c r="S41" s="32"/>
      <c r="T41" s="35"/>
    </row>
    <row r="42" spans="1:20" s="38" customFormat="1" x14ac:dyDescent="0.2">
      <c r="A42" s="15" t="s">
        <v>123</v>
      </c>
      <c r="B42" s="20">
        <v>9212293</v>
      </c>
      <c r="C42" s="30">
        <v>0.9</v>
      </c>
      <c r="D42" s="23">
        <f t="shared" si="8"/>
        <v>8291063.7000000002</v>
      </c>
      <c r="E42" s="31">
        <v>1171309</v>
      </c>
      <c r="F42" s="19">
        <f t="shared" si="9"/>
        <v>7.8649553619070627</v>
      </c>
      <c r="G42" s="29">
        <f t="shared" si="15"/>
        <v>7.0784598257163571</v>
      </c>
      <c r="H42" s="61">
        <v>2.4500000000000001E-2</v>
      </c>
      <c r="I42" s="61">
        <v>3.8999999999999998E-3</v>
      </c>
      <c r="J42" s="61">
        <v>0.75</v>
      </c>
      <c r="K42" s="20">
        <f t="shared" si="10"/>
        <v>203131.06065</v>
      </c>
      <c r="L42" s="20">
        <f t="shared" si="11"/>
        <v>32335.148429999997</v>
      </c>
      <c r="M42" s="20">
        <f t="shared" si="12"/>
        <v>6218297.7750000004</v>
      </c>
      <c r="N42" s="17">
        <f>((M42*10000)*360)+((L42*10000)*837)+((K42*10000)*336)</f>
        <v>23339037546143.102</v>
      </c>
      <c r="O42" s="18">
        <f>N42/N121</f>
        <v>1.5532901521679715E-3</v>
      </c>
      <c r="P42" s="16">
        <f t="shared" si="13"/>
        <v>0.96718049581139531</v>
      </c>
      <c r="Q42" s="33">
        <f t="shared" si="14"/>
        <v>40</v>
      </c>
      <c r="R42" s="8" t="s">
        <v>124</v>
      </c>
      <c r="S42" s="32"/>
      <c r="T42" s="35"/>
    </row>
    <row r="43" spans="1:20" x14ac:dyDescent="0.2">
      <c r="A43" s="15" t="s">
        <v>109</v>
      </c>
      <c r="B43" s="20">
        <v>7884423</v>
      </c>
      <c r="C43" s="30">
        <v>0.75</v>
      </c>
      <c r="D43" s="23">
        <f t="shared" si="8"/>
        <v>5913317.25</v>
      </c>
      <c r="E43" s="31">
        <v>4559417</v>
      </c>
      <c r="F43" s="19">
        <f t="shared" si="9"/>
        <v>1.7292612191427106</v>
      </c>
      <c r="G43" s="29">
        <f t="shared" si="15"/>
        <v>1.296945914357033</v>
      </c>
      <c r="H43" s="61">
        <v>0.11</v>
      </c>
      <c r="I43" s="61">
        <v>4.2200000000000001E-2</v>
      </c>
      <c r="J43" s="61">
        <v>0.72799999999999998</v>
      </c>
      <c r="K43" s="20">
        <f t="shared" si="10"/>
        <v>650464.89749999996</v>
      </c>
      <c r="L43" s="20">
        <f t="shared" si="11"/>
        <v>249541.98795000001</v>
      </c>
      <c r="M43" s="20">
        <f t="shared" si="12"/>
        <v>4304894.9579999996</v>
      </c>
      <c r="N43" s="17">
        <f>((M43*10000)*412)+((L43*10000)*837)+((K43*10000)*387)</f>
        <v>22342132819426.5</v>
      </c>
      <c r="O43" s="18">
        <f>N43/N121</f>
        <v>1.4869428449323099E-3</v>
      </c>
      <c r="P43" s="16">
        <f t="shared" si="13"/>
        <v>0.96866743865632765</v>
      </c>
      <c r="Q43" s="33">
        <f t="shared" si="14"/>
        <v>41</v>
      </c>
      <c r="R43" s="8">
        <v>169702</v>
      </c>
      <c r="S43" s="32"/>
      <c r="T43" s="34"/>
    </row>
    <row r="44" spans="1:20" x14ac:dyDescent="0.2">
      <c r="A44" s="15" t="s">
        <v>130</v>
      </c>
      <c r="B44" s="20">
        <v>76918919</v>
      </c>
      <c r="C44" s="30">
        <v>0.7</v>
      </c>
      <c r="D44" s="23">
        <f t="shared" si="8"/>
        <v>53843243.299999997</v>
      </c>
      <c r="E44" s="31">
        <v>9835744</v>
      </c>
      <c r="F44" s="19">
        <f t="shared" si="9"/>
        <v>7.8203457715044227</v>
      </c>
      <c r="G44" s="29">
        <f t="shared" si="15"/>
        <v>5.4742420400530962</v>
      </c>
      <c r="H44" s="61">
        <v>5.0000000000000001E-3</v>
      </c>
      <c r="I44" s="61">
        <v>2.5000000000000001E-3</v>
      </c>
      <c r="J44" s="61">
        <v>0.1</v>
      </c>
      <c r="K44" s="20">
        <f t="shared" si="10"/>
        <v>269216.21649999998</v>
      </c>
      <c r="L44" s="20">
        <f t="shared" si="11"/>
        <v>134608.10824999999</v>
      </c>
      <c r="M44" s="20">
        <f t="shared" si="12"/>
        <v>5384324.3300000001</v>
      </c>
      <c r="N44" s="17">
        <f>((M44*10000)*360)+((L44*10000)*837)+((K44*10000)*336)</f>
        <v>21414803941492.5</v>
      </c>
      <c r="O44" s="18">
        <f>N44/N121</f>
        <v>1.4252260405838849E-3</v>
      </c>
      <c r="P44" s="16">
        <f t="shared" si="13"/>
        <v>0.97009266469691158</v>
      </c>
      <c r="Q44" s="33">
        <f t="shared" si="14"/>
        <v>42</v>
      </c>
      <c r="R44" s="8" t="s">
        <v>205</v>
      </c>
      <c r="S44" s="32"/>
    </row>
    <row r="45" spans="1:20" x14ac:dyDescent="0.2">
      <c r="A45" s="15" t="s">
        <v>159</v>
      </c>
      <c r="B45" s="20">
        <v>21586902</v>
      </c>
      <c r="C45" s="30">
        <v>0.85</v>
      </c>
      <c r="D45" s="23">
        <f t="shared" si="8"/>
        <v>18348866.699999999</v>
      </c>
      <c r="E45" s="31">
        <v>11230212</v>
      </c>
      <c r="F45" s="64">
        <f t="shared" si="9"/>
        <v>1.9222167845095</v>
      </c>
      <c r="G45" s="29">
        <f t="shared" si="15"/>
        <v>1.6338842668330749</v>
      </c>
      <c r="H45" s="61">
        <v>8.3999999999999995E-3</v>
      </c>
      <c r="I45" s="61">
        <v>0.109</v>
      </c>
      <c r="J45" s="61">
        <v>6.0400000000000002E-2</v>
      </c>
      <c r="K45" s="20">
        <f t="shared" si="10"/>
        <v>154130.48027999999</v>
      </c>
      <c r="L45" s="20">
        <f t="shared" si="11"/>
        <v>2000026.4702999999</v>
      </c>
      <c r="M45" s="20">
        <f t="shared" si="12"/>
        <v>1108271.54868</v>
      </c>
      <c r="N45" s="17">
        <f>((M45*10000)*360)+((L45*10000)*837)+((K45*10000)*336)</f>
        <v>21247877545399.801</v>
      </c>
      <c r="O45" s="18">
        <f>N45/N121</f>
        <v>1.4141165367461601E-3</v>
      </c>
      <c r="P45" s="16">
        <f t="shared" si="13"/>
        <v>0.97150678123365775</v>
      </c>
      <c r="Q45" s="33">
        <f t="shared" si="14"/>
        <v>43</v>
      </c>
      <c r="R45" s="8" t="s">
        <v>162</v>
      </c>
      <c r="S45" s="32"/>
    </row>
    <row r="46" spans="1:20" x14ac:dyDescent="0.2">
      <c r="A46" s="15" t="s">
        <v>38</v>
      </c>
      <c r="B46" s="20">
        <v>5783772</v>
      </c>
      <c r="C46" s="30">
        <v>1</v>
      </c>
      <c r="D46" s="23">
        <f t="shared" si="8"/>
        <v>5783772</v>
      </c>
      <c r="E46" s="20">
        <v>4846422</v>
      </c>
      <c r="F46" s="19">
        <f t="shared" si="9"/>
        <v>1.1934107265112284</v>
      </c>
      <c r="G46" s="29">
        <f t="shared" si="15"/>
        <v>1.1934107265112284</v>
      </c>
      <c r="H46" s="28">
        <v>0.246</v>
      </c>
      <c r="I46" s="28">
        <v>1.06E-2</v>
      </c>
      <c r="J46" s="28">
        <v>0.63400000000000001</v>
      </c>
      <c r="K46" s="20">
        <f t="shared" si="10"/>
        <v>1422807.912</v>
      </c>
      <c r="L46" s="20">
        <f t="shared" si="11"/>
        <v>61307.983200000002</v>
      </c>
      <c r="M46" s="20">
        <f t="shared" si="12"/>
        <v>3666911.4479999999</v>
      </c>
      <c r="N46" s="17">
        <f>((M46*10000)*407)+((L46*10000)*837)+((K46*10000)*347)</f>
        <v>20374620867384</v>
      </c>
      <c r="O46" s="18">
        <f>N46/N121</f>
        <v>1.3559984161683467E-3</v>
      </c>
      <c r="P46" s="16">
        <f t="shared" si="13"/>
        <v>0.97286277964982604</v>
      </c>
      <c r="Q46" s="33">
        <f t="shared" si="14"/>
        <v>44</v>
      </c>
      <c r="R46" s="8">
        <v>172420</v>
      </c>
      <c r="S46" s="32"/>
    </row>
    <row r="47" spans="1:20" x14ac:dyDescent="0.2">
      <c r="A47" s="15" t="s">
        <v>37</v>
      </c>
      <c r="B47" s="20">
        <v>5372777</v>
      </c>
      <c r="C47" s="30">
        <v>0.97</v>
      </c>
      <c r="D47" s="23">
        <f t="shared" si="8"/>
        <v>5211593.6899999995</v>
      </c>
      <c r="E47" s="20">
        <v>2613915</v>
      </c>
      <c r="F47" s="19">
        <f t="shared" si="9"/>
        <v>2.055452070935742</v>
      </c>
      <c r="G47" s="29">
        <f t="shared" si="15"/>
        <v>1.9937885088076694</v>
      </c>
      <c r="H47" s="28">
        <v>0.26100000000000001</v>
      </c>
      <c r="I47" s="28">
        <v>1.5299999999999999E-2</v>
      </c>
      <c r="J47" s="28">
        <v>0.58299999999999996</v>
      </c>
      <c r="K47" s="20">
        <f t="shared" si="10"/>
        <v>1360225.95309</v>
      </c>
      <c r="L47" s="20">
        <f t="shared" si="11"/>
        <v>79737.383456999989</v>
      </c>
      <c r="M47" s="20">
        <f t="shared" si="12"/>
        <v>3038359.1212699995</v>
      </c>
      <c r="N47" s="17">
        <f>((M47*10000)*407)+((L47*10000)*837)+((K47*10000)*347)</f>
        <v>17753507580326.289</v>
      </c>
      <c r="O47" s="18">
        <f>N47/N121</f>
        <v>1.1815546565037082E-3</v>
      </c>
      <c r="P47" s="16">
        <f t="shared" si="13"/>
        <v>0.97404433430632975</v>
      </c>
      <c r="Q47" s="33">
        <f t="shared" si="14"/>
        <v>45</v>
      </c>
      <c r="R47" s="8" t="s">
        <v>198</v>
      </c>
      <c r="S47" s="32"/>
    </row>
    <row r="48" spans="1:20" x14ac:dyDescent="0.2">
      <c r="A48" s="15" t="s">
        <v>231</v>
      </c>
      <c r="B48" s="20">
        <v>3076240</v>
      </c>
      <c r="C48" s="30">
        <v>1</v>
      </c>
      <c r="D48" s="23">
        <f t="shared" si="8"/>
        <v>3076240</v>
      </c>
      <c r="E48" s="31">
        <v>3214628</v>
      </c>
      <c r="F48" s="19">
        <f t="shared" si="9"/>
        <v>0.95695053984473477</v>
      </c>
      <c r="G48" s="29">
        <f t="shared" si="15"/>
        <v>0.95695053984473477</v>
      </c>
      <c r="H48" s="61">
        <v>0.183</v>
      </c>
      <c r="I48" s="61">
        <v>0.42199999999999999</v>
      </c>
      <c r="J48" s="61">
        <v>0.28899999999999998</v>
      </c>
      <c r="K48" s="20">
        <f t="shared" si="10"/>
        <v>562951.92000000004</v>
      </c>
      <c r="L48" s="20">
        <f t="shared" si="11"/>
        <v>1298173.28</v>
      </c>
      <c r="M48" s="20">
        <f t="shared" si="12"/>
        <v>889033.36</v>
      </c>
      <c r="N48" s="17">
        <f>((M48*10000)*407)+((L48*10000)*837)+((K48*10000)*347)</f>
        <v>16437519291200</v>
      </c>
      <c r="O48" s="18">
        <f>N48/N121</f>
        <v>1.0939712826894762E-3</v>
      </c>
      <c r="P48" s="16">
        <f t="shared" si="13"/>
        <v>0.97513830558901926</v>
      </c>
      <c r="Q48" s="33">
        <f t="shared" si="14"/>
        <v>46</v>
      </c>
      <c r="R48" s="8">
        <v>169414</v>
      </c>
      <c r="S48" s="32"/>
    </row>
    <row r="49" spans="1:19" x14ac:dyDescent="0.2">
      <c r="A49" s="15" t="s">
        <v>188</v>
      </c>
      <c r="B49" s="20">
        <v>101068433</v>
      </c>
      <c r="C49" s="30">
        <v>0.52</v>
      </c>
      <c r="D49" s="23">
        <f t="shared" si="8"/>
        <v>52555585.160000004</v>
      </c>
      <c r="E49" s="31">
        <v>3097952</v>
      </c>
      <c r="F49" s="19">
        <f t="shared" si="9"/>
        <v>32.624273390936978</v>
      </c>
      <c r="G49" s="29">
        <f t="shared" si="15"/>
        <v>16.964622163287231</v>
      </c>
      <c r="H49" s="61">
        <v>6.1000000000000004E-3</v>
      </c>
      <c r="I49" s="61">
        <v>1.5E-3</v>
      </c>
      <c r="J49" s="61">
        <v>7.5499999999999998E-2</v>
      </c>
      <c r="K49" s="20">
        <f t="shared" si="10"/>
        <v>320589.06947600003</v>
      </c>
      <c r="L49" s="20">
        <f t="shared" si="11"/>
        <v>78833.377740000011</v>
      </c>
      <c r="M49" s="20">
        <f t="shared" si="12"/>
        <v>3967946.6795800002</v>
      </c>
      <c r="N49" s="17">
        <f>((M49*10000)*360)+((L49*10000)*837)+((K49*10000)*336)</f>
        <v>16021622691611.162</v>
      </c>
      <c r="O49" s="18">
        <f>N49/N121</f>
        <v>1.0662919882376688E-3</v>
      </c>
      <c r="P49" s="16">
        <f t="shared" si="13"/>
        <v>0.97620459757725697</v>
      </c>
      <c r="Q49" s="33">
        <f t="shared" si="14"/>
        <v>47</v>
      </c>
      <c r="R49" s="8" t="s">
        <v>235</v>
      </c>
      <c r="S49" s="32"/>
    </row>
    <row r="50" spans="1:19" x14ac:dyDescent="0.2">
      <c r="A50" s="15" t="s">
        <v>39</v>
      </c>
      <c r="B50" s="20">
        <v>19564489</v>
      </c>
      <c r="C50" s="30">
        <v>1</v>
      </c>
      <c r="D50" s="23">
        <f t="shared" si="8"/>
        <v>19564489</v>
      </c>
      <c r="E50" s="20">
        <v>2495074</v>
      </c>
      <c r="F50" s="19">
        <f t="shared" si="9"/>
        <v>7.8412459911008652</v>
      </c>
      <c r="G50" s="29">
        <f t="shared" si="15"/>
        <v>7.8412459911008652</v>
      </c>
      <c r="H50" s="28">
        <v>5.4199999999999998E-2</v>
      </c>
      <c r="I50" s="28">
        <v>4.0000000000000001E-3</v>
      </c>
      <c r="J50" s="28">
        <v>0.14399999999999999</v>
      </c>
      <c r="K50" s="20">
        <f t="shared" si="10"/>
        <v>1060395.3037999999</v>
      </c>
      <c r="L50" s="20">
        <f t="shared" si="11"/>
        <v>78257.956000000006</v>
      </c>
      <c r="M50" s="20">
        <f t="shared" si="12"/>
        <v>2817286.4159999997</v>
      </c>
      <c r="N50" s="17">
        <f>((M50*10000)*407)+((L50*10000)*837)+((K50*10000)*347)</f>
        <v>15800946509025.998</v>
      </c>
      <c r="O50" s="18">
        <f>N50/N121</f>
        <v>1.0516052583093302E-3</v>
      </c>
      <c r="P50" s="16">
        <f t="shared" si="13"/>
        <v>0.97725620283556636</v>
      </c>
      <c r="Q50" s="33">
        <f t="shared" si="14"/>
        <v>48</v>
      </c>
      <c r="R50" s="8">
        <v>170419</v>
      </c>
      <c r="S50" s="32"/>
    </row>
    <row r="51" spans="1:19" x14ac:dyDescent="0.2">
      <c r="A51" s="15" t="s">
        <v>89</v>
      </c>
      <c r="B51" s="20">
        <v>41248762</v>
      </c>
      <c r="C51" s="30">
        <v>0.89</v>
      </c>
      <c r="D51" s="23">
        <f t="shared" si="8"/>
        <v>36711398.18</v>
      </c>
      <c r="E51" s="20">
        <v>1141436</v>
      </c>
      <c r="F51" s="19">
        <f t="shared" si="9"/>
        <v>36.137603860400411</v>
      </c>
      <c r="G51" s="29">
        <f t="shared" si="15"/>
        <v>32.162467435756362</v>
      </c>
      <c r="H51" s="28">
        <v>9.2999999999999992E-3</v>
      </c>
      <c r="I51" s="28">
        <v>2.3999999999999998E-3</v>
      </c>
      <c r="J51" s="28">
        <v>9.5799999999999996E-2</v>
      </c>
      <c r="K51" s="20">
        <f t="shared" si="10"/>
        <v>341416.00307399995</v>
      </c>
      <c r="L51" s="20">
        <f t="shared" si="11"/>
        <v>88107.355631999992</v>
      </c>
      <c r="M51" s="20">
        <f t="shared" si="12"/>
        <v>3516951.9456439996</v>
      </c>
      <c r="N51" s="17">
        <f>((M51*10000)*384)+((L51*10000)*837)+((K51*10000)*278)</f>
        <v>15191690526458.518</v>
      </c>
      <c r="O51" s="18">
        <f>N51/N121</f>
        <v>1.0110572573045554E-3</v>
      </c>
      <c r="P51" s="16">
        <f t="shared" si="13"/>
        <v>0.97826726009287091</v>
      </c>
      <c r="Q51" s="33">
        <f t="shared" si="14"/>
        <v>49</v>
      </c>
      <c r="R51" s="8" t="s">
        <v>203</v>
      </c>
      <c r="S51" s="32"/>
    </row>
    <row r="52" spans="1:19" x14ac:dyDescent="0.2">
      <c r="A52" s="15" t="s">
        <v>185</v>
      </c>
      <c r="B52" s="20">
        <v>38560244</v>
      </c>
      <c r="C52" s="30">
        <v>0.74</v>
      </c>
      <c r="D52" s="23">
        <f t="shared" si="8"/>
        <v>28534580.559999999</v>
      </c>
      <c r="E52" s="31">
        <v>3055867</v>
      </c>
      <c r="F52" s="19">
        <f t="shared" si="9"/>
        <v>12.618430056020108</v>
      </c>
      <c r="G52" s="29">
        <f t="shared" si="15"/>
        <v>9.3376382414548793</v>
      </c>
      <c r="H52" s="28">
        <v>8.0999999999999996E-3</v>
      </c>
      <c r="I52" s="28">
        <v>3.0999999999999999E-3</v>
      </c>
      <c r="J52" s="28">
        <v>0.13300000000000001</v>
      </c>
      <c r="K52" s="20">
        <f t="shared" si="10"/>
        <v>231130.10253599996</v>
      </c>
      <c r="L52" s="20">
        <f t="shared" si="11"/>
        <v>88457.199735999995</v>
      </c>
      <c r="M52" s="20">
        <f t="shared" si="12"/>
        <v>3795099.2144800001</v>
      </c>
      <c r="N52" s="17">
        <f>((M52*10000)*360)+((L52*10000)*837)+((K52*10000)*336)</f>
        <v>15179341078439.281</v>
      </c>
      <c r="O52" s="18">
        <f>N52/N121</f>
        <v>1.0102353606879933E-3</v>
      </c>
      <c r="P52" s="16">
        <f t="shared" si="13"/>
        <v>0.97927749545355891</v>
      </c>
      <c r="Q52" s="33">
        <f t="shared" si="14"/>
        <v>50</v>
      </c>
      <c r="R52" s="8">
        <v>169105</v>
      </c>
      <c r="S52" s="32"/>
    </row>
    <row r="53" spans="1:19" x14ac:dyDescent="0.2">
      <c r="A53" s="15" t="s">
        <v>40</v>
      </c>
      <c r="B53" s="20">
        <v>4361427</v>
      </c>
      <c r="C53" s="30">
        <v>1</v>
      </c>
      <c r="D53" s="23">
        <f t="shared" si="8"/>
        <v>4361427</v>
      </c>
      <c r="E53" s="20">
        <v>5591766</v>
      </c>
      <c r="F53" s="19">
        <f t="shared" si="9"/>
        <v>0.77997308900265139</v>
      </c>
      <c r="G53" s="29">
        <f t="shared" si="15"/>
        <v>0.77997308900265139</v>
      </c>
      <c r="H53" s="28">
        <v>0.217</v>
      </c>
      <c r="I53" s="28">
        <v>1.49E-2</v>
      </c>
      <c r="J53" s="28">
        <v>0.628</v>
      </c>
      <c r="K53" s="20">
        <f t="shared" si="10"/>
        <v>946429.65899999999</v>
      </c>
      <c r="L53" s="20">
        <f t="shared" si="11"/>
        <v>64985.262300000002</v>
      </c>
      <c r="M53" s="20">
        <f t="shared" si="12"/>
        <v>2738976.156</v>
      </c>
      <c r="N53" s="17">
        <f>((M53*10000)*407)+((L53*10000)*837)+((K53*10000)*347)</f>
        <v>14975670517101</v>
      </c>
      <c r="O53" s="18">
        <f>N53/N121</f>
        <v>9.9668041110672592E-4</v>
      </c>
      <c r="P53" s="16">
        <f t="shared" si="13"/>
        <v>0.98027417586466559</v>
      </c>
      <c r="Q53" s="33">
        <f t="shared" si="14"/>
        <v>51</v>
      </c>
      <c r="R53" s="8" t="s">
        <v>219</v>
      </c>
      <c r="S53" s="32"/>
    </row>
    <row r="54" spans="1:19" x14ac:dyDescent="0.2">
      <c r="A54" s="15" t="s">
        <v>172</v>
      </c>
      <c r="B54" s="20">
        <v>4210455</v>
      </c>
      <c r="C54" s="30">
        <v>1</v>
      </c>
      <c r="D54" s="23">
        <f t="shared" si="8"/>
        <v>4210455</v>
      </c>
      <c r="E54" s="31">
        <v>5751955</v>
      </c>
      <c r="F54" s="19">
        <f t="shared" si="9"/>
        <v>0.73200416206315944</v>
      </c>
      <c r="G54" s="29">
        <f t="shared" si="15"/>
        <v>0.73200416206315944</v>
      </c>
      <c r="H54" s="28">
        <v>0.246</v>
      </c>
      <c r="I54" s="28">
        <v>1.06E-2</v>
      </c>
      <c r="J54" s="28">
        <v>0.63400000000000001</v>
      </c>
      <c r="K54" s="20">
        <f t="shared" si="10"/>
        <v>1035771.9299999999</v>
      </c>
      <c r="L54" s="20">
        <f t="shared" si="11"/>
        <v>44630.822999999997</v>
      </c>
      <c r="M54" s="20">
        <f t="shared" si="12"/>
        <v>2669428.4700000002</v>
      </c>
      <c r="N54" s="17">
        <f>((M54*10000)*407)+((L54*10000)*837)+((K54*10000)*347)</f>
        <v>14832262458510.002</v>
      </c>
      <c r="O54" s="18">
        <f>N54/N121</f>
        <v>9.8713613042631992E-4</v>
      </c>
      <c r="P54" s="16">
        <f t="shared" si="13"/>
        <v>0.98126131199509192</v>
      </c>
      <c r="Q54" s="33">
        <f t="shared" si="14"/>
        <v>52</v>
      </c>
      <c r="R54" s="8" t="s">
        <v>223</v>
      </c>
      <c r="S54" s="32"/>
    </row>
    <row r="55" spans="1:19" s="35" customFormat="1" x14ac:dyDescent="0.2">
      <c r="A55" s="15" t="s">
        <v>239</v>
      </c>
      <c r="B55" s="20">
        <v>70258867</v>
      </c>
      <c r="C55" s="30">
        <v>0.8</v>
      </c>
      <c r="D55" s="23">
        <f t="shared" si="8"/>
        <v>56207093.600000001</v>
      </c>
      <c r="E55" s="20">
        <v>2413686</v>
      </c>
      <c r="F55" s="19">
        <f t="shared" si="9"/>
        <v>29.108536487347568</v>
      </c>
      <c r="G55" s="29">
        <f t="shared" si="15"/>
        <v>23.286829189878056</v>
      </c>
      <c r="H55" s="28">
        <v>1.2800000000000001E-2</v>
      </c>
      <c r="I55" s="28">
        <v>1E-3</v>
      </c>
      <c r="J55" s="28">
        <v>5.8000000000000003E-2</v>
      </c>
      <c r="K55" s="20">
        <f t="shared" si="10"/>
        <v>719450.7980800001</v>
      </c>
      <c r="L55" s="20">
        <f t="shared" si="11"/>
        <v>56207.0936</v>
      </c>
      <c r="M55" s="20">
        <f t="shared" si="12"/>
        <v>3260011.4288000003</v>
      </c>
      <c r="N55" s="17">
        <f>((M55*10000)*357)+((L55*10000)*837)+((K55*10000)*244)</f>
        <v>13864154121563.203</v>
      </c>
      <c r="O55" s="18">
        <f>N55/N121</f>
        <v>9.2270531818574924E-4</v>
      </c>
      <c r="P55" s="16">
        <f t="shared" si="13"/>
        <v>0.98218401731327765</v>
      </c>
      <c r="Q55" s="33">
        <f t="shared" si="14"/>
        <v>53</v>
      </c>
      <c r="R55" s="8" t="s">
        <v>202</v>
      </c>
      <c r="S55" s="32"/>
    </row>
    <row r="56" spans="1:19" x14ac:dyDescent="0.2">
      <c r="A56" s="15" t="s">
        <v>114</v>
      </c>
      <c r="B56" s="20">
        <v>5615221</v>
      </c>
      <c r="C56" s="30">
        <v>1</v>
      </c>
      <c r="D56" s="23">
        <f t="shared" si="8"/>
        <v>5615221</v>
      </c>
      <c r="E56" s="31">
        <v>12100549</v>
      </c>
      <c r="F56" s="19">
        <f t="shared" si="9"/>
        <v>0.46404679655443731</v>
      </c>
      <c r="G56" s="29">
        <f t="shared" si="15"/>
        <v>0.46404679655443731</v>
      </c>
      <c r="H56" s="61">
        <v>0.19600000000000001</v>
      </c>
      <c r="I56" s="61">
        <v>0.13700000000000001</v>
      </c>
      <c r="J56" s="61">
        <v>0.57899999999999996</v>
      </c>
      <c r="K56" s="20">
        <f t="shared" si="10"/>
        <v>1100583.3160000001</v>
      </c>
      <c r="L56" s="20">
        <f t="shared" si="11"/>
        <v>769285.277</v>
      </c>
      <c r="M56" s="20">
        <f t="shared" si="12"/>
        <v>3251212.9589999998</v>
      </c>
      <c r="N56" s="17">
        <f>((M56*10000)*133)+((L56*10000)*837)+((K56*10000)*183)</f>
        <v>12777098472240</v>
      </c>
      <c r="O56" s="18">
        <f>N56/N121</f>
        <v>8.5035816883933895E-4</v>
      </c>
      <c r="P56" s="16">
        <f t="shared" si="13"/>
        <v>0.98303437548211703</v>
      </c>
      <c r="Q56" s="33">
        <f t="shared" si="14"/>
        <v>54</v>
      </c>
      <c r="R56" s="8">
        <v>169593</v>
      </c>
      <c r="S56" s="32"/>
    </row>
    <row r="57" spans="1:19" x14ac:dyDescent="0.2">
      <c r="A57" s="15" t="s">
        <v>167</v>
      </c>
      <c r="B57" s="20">
        <v>24279481</v>
      </c>
      <c r="C57" s="30">
        <v>0.9</v>
      </c>
      <c r="D57" s="23">
        <f t="shared" si="8"/>
        <v>21851532.900000002</v>
      </c>
      <c r="E57" s="31">
        <v>1388514</v>
      </c>
      <c r="F57" s="64">
        <f t="shared" si="9"/>
        <v>17.485946126578487</v>
      </c>
      <c r="G57" s="29">
        <f>F57*C57</f>
        <v>15.737351513920638</v>
      </c>
      <c r="H57" s="61">
        <v>3.5999999999999999E-3</v>
      </c>
      <c r="I57" s="61">
        <v>1.4E-3</v>
      </c>
      <c r="J57" s="61">
        <v>0.152</v>
      </c>
      <c r="K57" s="20">
        <f t="shared" si="10"/>
        <v>78665.51844</v>
      </c>
      <c r="L57" s="20">
        <f t="shared" si="11"/>
        <v>30592.146060000003</v>
      </c>
      <c r="M57" s="20">
        <f t="shared" si="12"/>
        <v>3321433.0008</v>
      </c>
      <c r="N57" s="17">
        <f>((M57*10000)*360)+((L57*10000)*837)+((K57*10000)*336)</f>
        <v>12477531207360.6</v>
      </c>
      <c r="O57" s="18">
        <f>N57/N121</f>
        <v>8.3042097641959568E-4</v>
      </c>
      <c r="P57" s="16">
        <f t="shared" si="13"/>
        <v>0.98386479645853664</v>
      </c>
      <c r="Q57" s="33">
        <f t="shared" si="14"/>
        <v>55</v>
      </c>
      <c r="R57" s="8">
        <v>169118</v>
      </c>
      <c r="S57" s="32"/>
    </row>
    <row r="58" spans="1:19" s="35" customFormat="1" x14ac:dyDescent="0.2">
      <c r="A58" s="15" t="s">
        <v>41</v>
      </c>
      <c r="B58" s="20">
        <v>12134545</v>
      </c>
      <c r="C58" s="30">
        <v>0.86</v>
      </c>
      <c r="D58" s="23">
        <f t="shared" si="8"/>
        <v>10435708.699999999</v>
      </c>
      <c r="E58" s="20">
        <v>1811503</v>
      </c>
      <c r="F58" s="19">
        <f t="shared" si="9"/>
        <v>6.6986060746242213</v>
      </c>
      <c r="G58" s="29">
        <f>D58/E58</f>
        <v>5.7608012241768298</v>
      </c>
      <c r="H58" s="28">
        <v>1.4999999999999999E-2</v>
      </c>
      <c r="I58" s="28">
        <v>2E-3</v>
      </c>
      <c r="J58" s="28">
        <v>0.26500000000000001</v>
      </c>
      <c r="K58" s="20">
        <f t="shared" si="10"/>
        <v>156535.63049999997</v>
      </c>
      <c r="L58" s="20">
        <f t="shared" si="11"/>
        <v>20871.417399999998</v>
      </c>
      <c r="M58" s="20">
        <f t="shared" si="12"/>
        <v>2765462.8054999998</v>
      </c>
      <c r="N58" s="17">
        <f>((M58*10000)*403)+((L58*10000)*837)+((K58*10000)*278)</f>
        <v>11754677922592.998</v>
      </c>
      <c r="O58" s="18">
        <f>N58/N121</f>
        <v>7.8231269918357341E-4</v>
      </c>
      <c r="P58" s="16">
        <f t="shared" si="13"/>
        <v>0.98464710915772025</v>
      </c>
      <c r="Q58" s="33">
        <f t="shared" si="14"/>
        <v>56</v>
      </c>
      <c r="R58" s="9">
        <v>169308</v>
      </c>
      <c r="S58" s="36"/>
    </row>
    <row r="59" spans="1:19" x14ac:dyDescent="0.2">
      <c r="A59" s="15" t="s">
        <v>127</v>
      </c>
      <c r="B59" s="20">
        <v>55376521</v>
      </c>
      <c r="C59" s="30">
        <v>0.81</v>
      </c>
      <c r="D59" s="23">
        <f t="shared" si="8"/>
        <v>44854982.010000005</v>
      </c>
      <c r="E59" s="31">
        <v>1846564</v>
      </c>
      <c r="F59" s="19">
        <f t="shared" si="9"/>
        <v>29.988952995942736</v>
      </c>
      <c r="G59" s="29">
        <f>D59/E59</f>
        <v>24.291051926713617</v>
      </c>
      <c r="H59" s="61">
        <v>9.7999999999999997E-3</v>
      </c>
      <c r="I59" s="61">
        <v>1.8E-3</v>
      </c>
      <c r="J59" s="61">
        <v>5.8799999999999998E-2</v>
      </c>
      <c r="K59" s="20">
        <f t="shared" si="10"/>
        <v>439578.82369800005</v>
      </c>
      <c r="L59" s="20">
        <f t="shared" si="11"/>
        <v>80738.96761800001</v>
      </c>
      <c r="M59" s="20">
        <f t="shared" si="12"/>
        <v>2637472.9421880003</v>
      </c>
      <c r="N59" s="17">
        <f>((M59*10000)*357)+((L59*10000)*837)+((K59*10000)*244)</f>
        <v>11164135892396.941</v>
      </c>
      <c r="O59" s="18">
        <f>N59/N121</f>
        <v>7.4301017361321625E-4</v>
      </c>
      <c r="P59" s="16">
        <f t="shared" si="13"/>
        <v>0.98539011933133347</v>
      </c>
      <c r="Q59" s="33">
        <f t="shared" si="14"/>
        <v>57</v>
      </c>
      <c r="R59" s="8">
        <v>169228</v>
      </c>
      <c r="S59" s="32"/>
    </row>
    <row r="60" spans="1:19" x14ac:dyDescent="0.2">
      <c r="A60" s="15" t="s">
        <v>113</v>
      </c>
      <c r="B60" s="20">
        <v>36026386</v>
      </c>
      <c r="C60" s="30">
        <v>0.73</v>
      </c>
      <c r="D60" s="23">
        <f t="shared" si="8"/>
        <v>26299261.780000001</v>
      </c>
      <c r="E60" s="31">
        <v>1963089</v>
      </c>
      <c r="F60" s="19">
        <f t="shared" si="9"/>
        <v>18.351886236436556</v>
      </c>
      <c r="G60" s="29">
        <f>D60/E60</f>
        <v>13.396876952598685</v>
      </c>
      <c r="H60" s="61">
        <v>0.02</v>
      </c>
      <c r="I60" s="61">
        <v>2E-3</v>
      </c>
      <c r="J60" s="61">
        <v>9.4600000000000004E-2</v>
      </c>
      <c r="K60" s="20">
        <f t="shared" si="10"/>
        <v>525985.23560000001</v>
      </c>
      <c r="L60" s="20">
        <f t="shared" si="11"/>
        <v>52598.523560000001</v>
      </c>
      <c r="M60" s="20">
        <f t="shared" si="12"/>
        <v>2487910.164388</v>
      </c>
      <c r="N60" s="17">
        <f>((M60*10000)*357)+((L60*10000)*837)+((K60*10000)*244)</f>
        <v>10605492903926.359</v>
      </c>
      <c r="O60" s="18">
        <f>N60/N121</f>
        <v>7.0583063478889838E-4</v>
      </c>
      <c r="P60" s="16">
        <f t="shared" si="13"/>
        <v>0.98609594996612238</v>
      </c>
      <c r="Q60" s="33">
        <f t="shared" si="14"/>
        <v>58</v>
      </c>
      <c r="R60" s="8">
        <v>170497</v>
      </c>
      <c r="S60" s="32"/>
    </row>
    <row r="61" spans="1:19" x14ac:dyDescent="0.2">
      <c r="A61" s="15" t="s">
        <v>110</v>
      </c>
      <c r="B61" s="20">
        <v>4036859</v>
      </c>
      <c r="C61" s="30">
        <v>0.91</v>
      </c>
      <c r="D61" s="23">
        <f t="shared" si="8"/>
        <v>3673541.69</v>
      </c>
      <c r="E61" s="31">
        <v>663730</v>
      </c>
      <c r="F61" s="19">
        <f t="shared" si="9"/>
        <v>6.0820800626760878</v>
      </c>
      <c r="G61" s="29">
        <f>D61/E61</f>
        <v>5.5346928570352398</v>
      </c>
      <c r="H61" s="61">
        <v>1.03E-2</v>
      </c>
      <c r="I61" s="61">
        <v>0.25</v>
      </c>
      <c r="J61" s="61">
        <v>0.14099999999999999</v>
      </c>
      <c r="K61" s="20">
        <f t="shared" si="10"/>
        <v>37837.479406999999</v>
      </c>
      <c r="L61" s="20">
        <f t="shared" si="11"/>
        <v>918385.42249999999</v>
      </c>
      <c r="M61" s="20">
        <f t="shared" si="12"/>
        <v>517969.37828999996</v>
      </c>
      <c r="N61" s="17">
        <f>((M61*10000)*360)+((L61*10000)*837)+((K61*10000)*336)</f>
        <v>9678709678976.5195</v>
      </c>
      <c r="O61" s="18">
        <f>N61/N121</f>
        <v>6.4415014545154113E-4</v>
      </c>
      <c r="P61" s="16">
        <f t="shared" si="13"/>
        <v>0.98674010011157387</v>
      </c>
      <c r="Q61" s="33">
        <f t="shared" si="14"/>
        <v>59</v>
      </c>
      <c r="R61" s="1">
        <v>171719</v>
      </c>
      <c r="S61" s="32">
        <v>173954</v>
      </c>
    </row>
    <row r="62" spans="1:19" x14ac:dyDescent="0.2">
      <c r="A62" s="15" t="s">
        <v>166</v>
      </c>
      <c r="B62" s="20">
        <v>24841792</v>
      </c>
      <c r="C62" s="30">
        <v>0.96</v>
      </c>
      <c r="D62" s="23">
        <f t="shared" si="8"/>
        <v>23848120.32</v>
      </c>
      <c r="E62" s="31">
        <v>1501557</v>
      </c>
      <c r="F62" s="64">
        <f t="shared" si="9"/>
        <v>16.544021971859877</v>
      </c>
      <c r="G62" s="29">
        <f>F62*C62</f>
        <v>15.88226109298548</v>
      </c>
      <c r="H62" s="61">
        <v>9.1000000000000004E-3</v>
      </c>
      <c r="I62" s="61">
        <v>2.5000000000000001E-3</v>
      </c>
      <c r="J62" s="61">
        <v>9.5399999999999999E-2</v>
      </c>
      <c r="K62" s="20">
        <f t="shared" si="10"/>
        <v>217017.89491200002</v>
      </c>
      <c r="L62" s="20">
        <f t="shared" si="11"/>
        <v>59620.300800000005</v>
      </c>
      <c r="M62" s="20">
        <f t="shared" si="12"/>
        <v>2275110.6785280001</v>
      </c>
      <c r="N62" s="17">
        <f>((M62*10000)*360)+((L62*10000)*837)+((K62*10000)*336)</f>
        <v>9418600487301.1211</v>
      </c>
      <c r="O62" s="18">
        <f>N62/N121</f>
        <v>6.2683901832734075E-4</v>
      </c>
      <c r="P62" s="16">
        <f t="shared" si="13"/>
        <v>0.98736693912990126</v>
      </c>
      <c r="Q62" s="33">
        <f t="shared" si="14"/>
        <v>60</v>
      </c>
      <c r="R62" s="8" t="s">
        <v>215</v>
      </c>
      <c r="S62" s="32"/>
    </row>
    <row r="63" spans="1:19" x14ac:dyDescent="0.2">
      <c r="A63" s="15" t="s">
        <v>43</v>
      </c>
      <c r="B63" s="20">
        <v>2985845</v>
      </c>
      <c r="C63" s="30">
        <v>0.45</v>
      </c>
      <c r="D63" s="23">
        <f t="shared" si="8"/>
        <v>1343630.25</v>
      </c>
      <c r="E63" s="20">
        <v>938880</v>
      </c>
      <c r="F63" s="19">
        <f t="shared" si="9"/>
        <v>3.1802200494205861</v>
      </c>
      <c r="G63" s="29">
        <f t="shared" ref="G63:G85" si="16">D63/E63</f>
        <v>1.4310990222392639</v>
      </c>
      <c r="H63" s="28">
        <v>0.152</v>
      </c>
      <c r="I63" s="28">
        <v>0.65200000000000002</v>
      </c>
      <c r="J63" s="28">
        <v>0.13700000000000001</v>
      </c>
      <c r="K63" s="20">
        <f t="shared" si="10"/>
        <v>204231.79799999998</v>
      </c>
      <c r="L63" s="20">
        <f t="shared" si="11"/>
        <v>876046.92300000007</v>
      </c>
      <c r="M63" s="20">
        <f t="shared" si="12"/>
        <v>184077.34425000002</v>
      </c>
      <c r="N63" s="17">
        <f>((M63*10000)*407)+((L63*10000)*884)+((K63*10000)*347)</f>
        <v>9202133929477.5</v>
      </c>
      <c r="O63" s="18">
        <f>N63/N121</f>
        <v>6.1243245285194929E-4</v>
      </c>
      <c r="P63" s="16">
        <f t="shared" si="13"/>
        <v>0.98797937158275317</v>
      </c>
      <c r="Q63" s="33">
        <f t="shared" si="14"/>
        <v>61</v>
      </c>
      <c r="R63" s="8" t="s">
        <v>236</v>
      </c>
      <c r="S63" s="32"/>
    </row>
    <row r="64" spans="1:19" x14ac:dyDescent="0.2">
      <c r="A64" s="15" t="s">
        <v>154</v>
      </c>
      <c r="B64" s="20">
        <v>41736063</v>
      </c>
      <c r="C64" s="30">
        <v>0.97</v>
      </c>
      <c r="D64" s="23">
        <f t="shared" si="8"/>
        <v>40483981.109999999</v>
      </c>
      <c r="E64" s="31">
        <v>218611</v>
      </c>
      <c r="F64" s="64">
        <f t="shared" si="9"/>
        <v>190.91474353989506</v>
      </c>
      <c r="G64" s="29">
        <f t="shared" si="16"/>
        <v>185.18730123369821</v>
      </c>
      <c r="H64" s="61">
        <v>3.09E-2</v>
      </c>
      <c r="I64" s="61">
        <v>3.3999999999999998E-3</v>
      </c>
      <c r="J64" s="61">
        <v>3.2599999999999997E-2</v>
      </c>
      <c r="K64" s="20">
        <f t="shared" si="10"/>
        <v>1250955.016299</v>
      </c>
      <c r="L64" s="20">
        <f t="shared" si="11"/>
        <v>137645.53577399999</v>
      </c>
      <c r="M64" s="20">
        <f t="shared" si="12"/>
        <v>1319777.7841859998</v>
      </c>
      <c r="N64" s="17">
        <f>((M64*10000)*348)+((L64*10000)*837)+((K64*10000)*262)</f>
        <v>9022421966099.0391</v>
      </c>
      <c r="O64" s="18">
        <f>N64/N121</f>
        <v>6.0047202721783129E-4</v>
      </c>
      <c r="P64" s="16">
        <f t="shared" si="13"/>
        <v>0.98857984360997098</v>
      </c>
      <c r="Q64" s="33">
        <f t="shared" si="14"/>
        <v>62</v>
      </c>
      <c r="R64" s="8" t="s">
        <v>156</v>
      </c>
      <c r="S64" s="32"/>
    </row>
    <row r="65" spans="1:20" s="35" customFormat="1" x14ac:dyDescent="0.2">
      <c r="A65" s="15" t="s">
        <v>45</v>
      </c>
      <c r="B65" s="20">
        <v>3561825</v>
      </c>
      <c r="C65" s="30">
        <v>0.4</v>
      </c>
      <c r="D65" s="23">
        <f t="shared" si="8"/>
        <v>1424730</v>
      </c>
      <c r="E65" s="20">
        <v>2114896</v>
      </c>
      <c r="F65" s="19">
        <f t="shared" si="9"/>
        <v>1.6841608287121448</v>
      </c>
      <c r="G65" s="29">
        <f t="shared" si="16"/>
        <v>0.67366433148485794</v>
      </c>
      <c r="H65" s="28">
        <v>0.2122</v>
      </c>
      <c r="I65" s="28">
        <v>0.499</v>
      </c>
      <c r="J65" s="28">
        <v>0.216</v>
      </c>
      <c r="K65" s="20">
        <f t="shared" si="10"/>
        <v>302327.70600000001</v>
      </c>
      <c r="L65" s="20">
        <f t="shared" si="11"/>
        <v>710940.27</v>
      </c>
      <c r="M65" s="20">
        <f t="shared" si="12"/>
        <v>307741.68</v>
      </c>
      <c r="N65" s="17">
        <f>((M65*10000)*407)+((L65*10000)*837)+((K65*10000)*347)</f>
        <v>8252155837320</v>
      </c>
      <c r="O65" s="18">
        <f>N65/N121</f>
        <v>5.492082683753529E-4</v>
      </c>
      <c r="P65" s="16">
        <f t="shared" si="13"/>
        <v>0.98912905187834632</v>
      </c>
      <c r="Q65" s="33">
        <f t="shared" si="14"/>
        <v>63</v>
      </c>
      <c r="R65" s="9" t="s">
        <v>197</v>
      </c>
      <c r="S65" s="36"/>
      <c r="T65" s="34"/>
    </row>
    <row r="66" spans="1:20" x14ac:dyDescent="0.2">
      <c r="A66" s="15" t="s">
        <v>132</v>
      </c>
      <c r="B66" s="20">
        <v>3420504</v>
      </c>
      <c r="C66" s="30">
        <v>0.75</v>
      </c>
      <c r="D66" s="23">
        <f t="shared" si="8"/>
        <v>2565378</v>
      </c>
      <c r="E66" s="31">
        <v>1238350</v>
      </c>
      <c r="F66" s="19">
        <f t="shared" si="9"/>
        <v>2.7621464044898452</v>
      </c>
      <c r="G66" s="29">
        <f t="shared" si="16"/>
        <v>2.0716098033673842</v>
      </c>
      <c r="H66" s="61">
        <v>0.1</v>
      </c>
      <c r="I66" s="61">
        <v>0.03</v>
      </c>
      <c r="J66" s="61">
        <v>0.7</v>
      </c>
      <c r="K66" s="20">
        <f t="shared" si="10"/>
        <v>256537.80000000002</v>
      </c>
      <c r="L66" s="20">
        <f t="shared" si="11"/>
        <v>76961.34</v>
      </c>
      <c r="M66" s="20">
        <f t="shared" si="12"/>
        <v>1795764.5999999999</v>
      </c>
      <c r="N66" s="17">
        <f>((M66*10000)*360)+((L66*10000)*837)+((K66*10000)*336)</f>
        <v>7970885983800</v>
      </c>
      <c r="O66" s="18">
        <f>N66/N121</f>
        <v>5.3048882920779636E-4</v>
      </c>
      <c r="P66" s="16">
        <f t="shared" si="13"/>
        <v>0.98965954070755413</v>
      </c>
      <c r="Q66" s="33">
        <f t="shared" si="14"/>
        <v>64</v>
      </c>
      <c r="R66" s="1" t="s">
        <v>205</v>
      </c>
      <c r="S66" s="32"/>
      <c r="T66" s="34"/>
    </row>
    <row r="67" spans="1:20" x14ac:dyDescent="0.2">
      <c r="A67" s="15" t="s">
        <v>180</v>
      </c>
      <c r="B67" s="20">
        <v>7921778</v>
      </c>
      <c r="C67" s="30">
        <v>0.86</v>
      </c>
      <c r="D67" s="23">
        <f t="shared" ref="D67:D98" si="17">B67*C67</f>
        <v>6812729.0800000001</v>
      </c>
      <c r="E67" s="31">
        <v>712156</v>
      </c>
      <c r="F67" s="19">
        <f t="shared" ref="F67:F98" si="18">B67/E67</f>
        <v>11.123655491212599</v>
      </c>
      <c r="G67" s="29">
        <f t="shared" si="16"/>
        <v>9.566343722442836</v>
      </c>
      <c r="H67" s="28">
        <v>1.4999999999999999E-2</v>
      </c>
      <c r="I67" s="28">
        <v>2E-3</v>
      </c>
      <c r="J67" s="28">
        <v>0.26500000000000001</v>
      </c>
      <c r="K67" s="20">
        <f t="shared" ref="K67:K98" si="19">D67*H67</f>
        <v>102190.9362</v>
      </c>
      <c r="L67" s="20">
        <f t="shared" ref="L67:L98" si="20">D67*I67</f>
        <v>13625.45816</v>
      </c>
      <c r="M67" s="20">
        <f t="shared" ref="M67:M98" si="21">D67*J67</f>
        <v>1805373.2062000001</v>
      </c>
      <c r="N67" s="17">
        <f>((M67*10000)*403)+((L67*10000)*837)+((K67*10000)*278)</f>
        <v>7673789908421.2002</v>
      </c>
      <c r="O67" s="18">
        <f>N67/N121</f>
        <v>5.1071610262379437E-4</v>
      </c>
      <c r="P67" s="16">
        <f t="shared" si="13"/>
        <v>0.9901702568101779</v>
      </c>
      <c r="Q67" s="33">
        <f t="shared" si="14"/>
        <v>65</v>
      </c>
      <c r="R67" s="8">
        <v>169308</v>
      </c>
      <c r="S67" s="32"/>
    </row>
    <row r="68" spans="1:20" s="35" customFormat="1" x14ac:dyDescent="0.2">
      <c r="A68" s="15" t="s">
        <v>102</v>
      </c>
      <c r="B68" s="20">
        <v>7077148</v>
      </c>
      <c r="C68" s="30">
        <v>0.67</v>
      </c>
      <c r="D68" s="23">
        <f t="shared" si="17"/>
        <v>4741689.16</v>
      </c>
      <c r="E68" s="31">
        <v>748770</v>
      </c>
      <c r="F68" s="19">
        <f t="shared" si="18"/>
        <v>9.4516981182472595</v>
      </c>
      <c r="G68" s="29">
        <f t="shared" si="16"/>
        <v>6.3326377392256639</v>
      </c>
      <c r="H68" s="61">
        <v>0.02</v>
      </c>
      <c r="I68" s="61">
        <v>0.14699999999999999</v>
      </c>
      <c r="J68" s="61">
        <v>8.5300000000000001E-2</v>
      </c>
      <c r="K68" s="20">
        <f t="shared" si="19"/>
        <v>94833.783200000005</v>
      </c>
      <c r="L68" s="20">
        <f t="shared" si="20"/>
        <v>697028.30651999998</v>
      </c>
      <c r="M68" s="20">
        <f t="shared" si="21"/>
        <v>404466.08534799999</v>
      </c>
      <c r="N68" s="17">
        <f>((M68*10000)*360)+((L68*10000)*837)+((K68*10000)*336)</f>
        <v>7608846344377.1992</v>
      </c>
      <c r="O68" s="18">
        <f>N68/N121</f>
        <v>5.0639389360909975E-4</v>
      </c>
      <c r="P68" s="16">
        <f t="shared" ref="P68:P99" si="22">P67+O68</f>
        <v>0.99067665070378697</v>
      </c>
      <c r="Q68" s="33">
        <f t="shared" ref="Q68:Q99" si="23">Q67+1</f>
        <v>66</v>
      </c>
      <c r="R68" s="8">
        <v>171705</v>
      </c>
      <c r="S68" s="32"/>
    </row>
    <row r="69" spans="1:20" x14ac:dyDescent="0.2">
      <c r="A69" s="15" t="s">
        <v>169</v>
      </c>
      <c r="B69" s="20">
        <v>28216306</v>
      </c>
      <c r="C69" s="30">
        <v>0.51</v>
      </c>
      <c r="D69" s="23">
        <f t="shared" si="17"/>
        <v>14390316.060000001</v>
      </c>
      <c r="E69" s="31">
        <v>1085300</v>
      </c>
      <c r="F69" s="19">
        <f t="shared" si="18"/>
        <v>25.998623422095275</v>
      </c>
      <c r="G69" s="29">
        <f t="shared" si="16"/>
        <v>13.259297945268591</v>
      </c>
      <c r="H69" s="28">
        <v>5.4000000000000003E-3</v>
      </c>
      <c r="I69" s="28">
        <v>1.1999999999999999E-3</v>
      </c>
      <c r="J69" s="28">
        <v>0.13100000000000001</v>
      </c>
      <c r="K69" s="20">
        <f t="shared" si="19"/>
        <v>77707.706724000003</v>
      </c>
      <c r="L69" s="20">
        <f t="shared" si="20"/>
        <v>17268.379271999998</v>
      </c>
      <c r="M69" s="20">
        <f t="shared" si="21"/>
        <v>1885131.4038600002</v>
      </c>
      <c r="N69" s="17">
        <f>((M69*10000)*360)+((L69*10000)*837)+((K69*10000)*336)</f>
        <v>7192107282995.2803</v>
      </c>
      <c r="O69" s="18">
        <f>N69/N121</f>
        <v>4.7865853053817348E-4</v>
      </c>
      <c r="P69" s="16">
        <f t="shared" si="22"/>
        <v>0.99115530923432515</v>
      </c>
      <c r="Q69" s="33">
        <f t="shared" si="23"/>
        <v>67</v>
      </c>
      <c r="R69" s="8">
        <v>169124</v>
      </c>
      <c r="S69" s="32"/>
    </row>
    <row r="70" spans="1:20" x14ac:dyDescent="0.2">
      <c r="A70" s="15" t="s">
        <v>120</v>
      </c>
      <c r="B70" s="20">
        <v>87976103</v>
      </c>
      <c r="C70" s="30">
        <v>0.73</v>
      </c>
      <c r="D70" s="23">
        <f t="shared" si="17"/>
        <v>64222555.189999998</v>
      </c>
      <c r="E70" s="62">
        <v>2210939</v>
      </c>
      <c r="F70" s="19">
        <f t="shared" si="18"/>
        <v>39.79128460803306</v>
      </c>
      <c r="G70" s="29">
        <f t="shared" si="16"/>
        <v>29.047637763864131</v>
      </c>
      <c r="H70" s="61">
        <v>5.8999999999999999E-3</v>
      </c>
      <c r="I70" s="61">
        <v>1.6000000000000001E-3</v>
      </c>
      <c r="J70" s="61">
        <v>2.1600000000000001E-2</v>
      </c>
      <c r="K70" s="20">
        <f t="shared" si="19"/>
        <v>378913.07562099997</v>
      </c>
      <c r="L70" s="20">
        <f t="shared" si="20"/>
        <v>102756.088304</v>
      </c>
      <c r="M70" s="20">
        <f t="shared" si="21"/>
        <v>1387207.1921040001</v>
      </c>
      <c r="N70" s="17">
        <f>((M70*10000)*357)+((L70*10000)*837)+((K70*10000)*244)</f>
        <v>6736946039431.001</v>
      </c>
      <c r="O70" s="18">
        <f>N70/N121</f>
        <v>4.483660441458305E-4</v>
      </c>
      <c r="P70" s="16">
        <f t="shared" si="22"/>
        <v>0.99160367527847093</v>
      </c>
      <c r="Q70" s="33">
        <f t="shared" si="23"/>
        <v>68</v>
      </c>
      <c r="R70" s="8">
        <v>169225</v>
      </c>
      <c r="S70" s="32"/>
    </row>
    <row r="71" spans="1:20" x14ac:dyDescent="0.2">
      <c r="A71" s="15" t="s">
        <v>155</v>
      </c>
      <c r="B71" s="20">
        <v>978427</v>
      </c>
      <c r="C71" s="30">
        <v>1</v>
      </c>
      <c r="D71" s="23">
        <f t="shared" si="17"/>
        <v>978427</v>
      </c>
      <c r="E71" s="31">
        <v>878612</v>
      </c>
      <c r="F71" s="64">
        <f t="shared" si="18"/>
        <v>1.1136053229411844</v>
      </c>
      <c r="G71" s="29">
        <f t="shared" si="16"/>
        <v>1.1136053229411844</v>
      </c>
      <c r="H71" s="61">
        <v>0.13700000000000001</v>
      </c>
      <c r="I71" s="61">
        <v>0.68400000000000005</v>
      </c>
      <c r="J71" s="61">
        <v>0.13100000000000001</v>
      </c>
      <c r="K71" s="20">
        <f t="shared" si="19"/>
        <v>134044.49900000001</v>
      </c>
      <c r="L71" s="20">
        <f t="shared" si="20"/>
        <v>669244.06800000009</v>
      </c>
      <c r="M71" s="20">
        <f t="shared" si="21"/>
        <v>128173.93700000001</v>
      </c>
      <c r="N71" s="17">
        <f>((M71*10000)*407)+((L71*10000)*837)+((K71*10000)*347)</f>
        <v>6588375184280.001</v>
      </c>
      <c r="O71" s="18">
        <f>N71/N121</f>
        <v>4.3847816227628189E-4</v>
      </c>
      <c r="P71" s="16">
        <f t="shared" si="22"/>
        <v>0.9920421534407472</v>
      </c>
      <c r="Q71" s="33">
        <f t="shared" si="23"/>
        <v>69</v>
      </c>
      <c r="R71" s="8">
        <v>170591</v>
      </c>
      <c r="S71" s="32"/>
    </row>
    <row r="72" spans="1:20" s="35" customFormat="1" x14ac:dyDescent="0.2">
      <c r="A72" s="15" t="s">
        <v>44</v>
      </c>
      <c r="B72" s="20">
        <v>22949828</v>
      </c>
      <c r="C72" s="30">
        <v>0.88</v>
      </c>
      <c r="D72" s="23">
        <f t="shared" si="17"/>
        <v>20195848.640000001</v>
      </c>
      <c r="E72" s="20">
        <v>1548089</v>
      </c>
      <c r="F72" s="19">
        <f t="shared" si="18"/>
        <v>14.824617964471035</v>
      </c>
      <c r="G72" s="29">
        <f t="shared" si="16"/>
        <v>13.045663808734512</v>
      </c>
      <c r="H72" s="28">
        <v>1.83E-2</v>
      </c>
      <c r="I72" s="28">
        <v>2.2000000000000001E-3</v>
      </c>
      <c r="J72" s="28">
        <v>6.9699999999999998E-2</v>
      </c>
      <c r="K72" s="20">
        <f t="shared" si="19"/>
        <v>369584.03011200001</v>
      </c>
      <c r="L72" s="20">
        <f t="shared" si="20"/>
        <v>44430.867008000001</v>
      </c>
      <c r="M72" s="20">
        <f t="shared" si="21"/>
        <v>1407650.6502080001</v>
      </c>
      <c r="N72" s="17">
        <f>((M72*10000)*357)+((L72*10000)*837)+((K72*10000)*244)</f>
        <v>6298984211572.8008</v>
      </c>
      <c r="O72" s="18">
        <f>N72/N121</f>
        <v>4.192182357628731E-4</v>
      </c>
      <c r="P72" s="16">
        <f t="shared" si="22"/>
        <v>0.99246137167651005</v>
      </c>
      <c r="Q72" s="33">
        <f t="shared" si="23"/>
        <v>70</v>
      </c>
      <c r="R72" s="9" t="s">
        <v>199</v>
      </c>
      <c r="S72" s="36"/>
    </row>
    <row r="73" spans="1:20" x14ac:dyDescent="0.2">
      <c r="A73" s="15" t="s">
        <v>187</v>
      </c>
      <c r="B73" s="20">
        <v>1527571</v>
      </c>
      <c r="C73" s="30">
        <v>1</v>
      </c>
      <c r="D73" s="23">
        <f t="shared" si="17"/>
        <v>1527571</v>
      </c>
      <c r="E73" s="31">
        <v>241611</v>
      </c>
      <c r="F73" s="19">
        <f t="shared" si="18"/>
        <v>6.3224397895791169</v>
      </c>
      <c r="G73" s="29">
        <f t="shared" si="16"/>
        <v>6.3224397895791169</v>
      </c>
      <c r="H73" s="28">
        <v>0.246</v>
      </c>
      <c r="I73" s="28">
        <v>1.06E-2</v>
      </c>
      <c r="J73" s="28">
        <v>0.63400000000000001</v>
      </c>
      <c r="K73" s="20">
        <f t="shared" si="19"/>
        <v>375782.46600000001</v>
      </c>
      <c r="L73" s="20">
        <f t="shared" si="20"/>
        <v>16192.2526</v>
      </c>
      <c r="M73" s="20">
        <f t="shared" si="21"/>
        <v>968480.01399999997</v>
      </c>
      <c r="N73" s="17">
        <f>((M73*10000)*407)+((L73*10000)*837)+((K73*10000)*347)</f>
        <v>5381207968262</v>
      </c>
      <c r="O73" s="18">
        <f>N73/N121</f>
        <v>3.5813719084789263E-4</v>
      </c>
      <c r="P73" s="16">
        <f t="shared" si="22"/>
        <v>0.99281950886735792</v>
      </c>
      <c r="Q73" s="33">
        <f t="shared" si="23"/>
        <v>71</v>
      </c>
      <c r="R73" s="8">
        <v>172420</v>
      </c>
      <c r="S73" s="32"/>
    </row>
    <row r="74" spans="1:20" x14ac:dyDescent="0.2">
      <c r="A74" s="15" t="s">
        <v>99</v>
      </c>
      <c r="B74" s="20">
        <v>8404325</v>
      </c>
      <c r="C74" s="30">
        <v>0.53</v>
      </c>
      <c r="D74" s="23">
        <f t="shared" si="17"/>
        <v>4454292.25</v>
      </c>
      <c r="E74" s="31">
        <v>1551246</v>
      </c>
      <c r="F74" s="19">
        <f t="shared" si="18"/>
        <v>5.417789957234378</v>
      </c>
      <c r="G74" s="29">
        <f t="shared" si="16"/>
        <v>2.8714286773342206</v>
      </c>
      <c r="H74" s="61">
        <v>2.1999999999999999E-2</v>
      </c>
      <c r="I74" s="61">
        <v>0.12</v>
      </c>
      <c r="J74" s="61">
        <v>3.8800000000000001E-2</v>
      </c>
      <c r="K74" s="20">
        <f t="shared" si="19"/>
        <v>97994.429499999998</v>
      </c>
      <c r="L74" s="20">
        <f t="shared" si="20"/>
        <v>534515.06999999995</v>
      </c>
      <c r="M74" s="20">
        <f t="shared" si="21"/>
        <v>172826.5393</v>
      </c>
      <c r="N74" s="17">
        <f>((M74*10000)*357)+((L74*10000)*837)+((K74*10000)*244)</f>
        <v>5329988289180.999</v>
      </c>
      <c r="O74" s="18">
        <f>N74/N121</f>
        <v>3.5472835177488337E-4</v>
      </c>
      <c r="P74" s="16">
        <f t="shared" si="22"/>
        <v>0.99317423721913278</v>
      </c>
      <c r="Q74" s="33">
        <f t="shared" si="23"/>
        <v>72</v>
      </c>
      <c r="R74" s="8">
        <v>168389</v>
      </c>
      <c r="S74" s="32"/>
    </row>
    <row r="75" spans="1:20" s="35" customFormat="1" x14ac:dyDescent="0.2">
      <c r="A75" s="15" t="s">
        <v>171</v>
      </c>
      <c r="B75" s="20">
        <v>12337940</v>
      </c>
      <c r="C75" s="30">
        <v>0.94</v>
      </c>
      <c r="D75" s="23">
        <f t="shared" si="17"/>
        <v>11597663.6</v>
      </c>
      <c r="E75" s="31">
        <v>2594013</v>
      </c>
      <c r="F75" s="19">
        <f t="shared" si="18"/>
        <v>4.7563138658133166</v>
      </c>
      <c r="G75" s="29">
        <f t="shared" si="16"/>
        <v>4.4709350338645182</v>
      </c>
      <c r="H75" s="28">
        <v>7.0000000000000001E-3</v>
      </c>
      <c r="I75" s="28">
        <v>2.8E-3</v>
      </c>
      <c r="J75" s="28">
        <v>0.114</v>
      </c>
      <c r="K75" s="20">
        <f t="shared" si="19"/>
        <v>81183.645199999999</v>
      </c>
      <c r="L75" s="20">
        <f t="shared" si="20"/>
        <v>32473.45808</v>
      </c>
      <c r="M75" s="20">
        <f t="shared" si="21"/>
        <v>1322133.6503999999</v>
      </c>
      <c r="N75" s="17">
        <f>((M75*10000)*360)+((L75*10000)*837)+((K75*10000)*336)</f>
        <v>5304261033441.5996</v>
      </c>
      <c r="O75" s="18">
        <f>N75/N121</f>
        <v>3.5301611780193959E-4</v>
      </c>
      <c r="P75" s="16">
        <f t="shared" si="22"/>
        <v>0.9935272533369347</v>
      </c>
      <c r="Q75" s="33">
        <f t="shared" si="23"/>
        <v>73</v>
      </c>
      <c r="R75" s="8" t="s">
        <v>222</v>
      </c>
      <c r="S75" s="32"/>
    </row>
    <row r="76" spans="1:20" s="35" customFormat="1" x14ac:dyDescent="0.2">
      <c r="A76" s="15" t="s">
        <v>90</v>
      </c>
      <c r="B76" s="20">
        <v>25785681</v>
      </c>
      <c r="C76" s="30">
        <v>0.61</v>
      </c>
      <c r="D76" s="23">
        <f t="shared" si="17"/>
        <v>15729265.41</v>
      </c>
      <c r="E76" s="20">
        <v>1360864</v>
      </c>
      <c r="F76" s="19">
        <f t="shared" si="18"/>
        <v>18.94802199191102</v>
      </c>
      <c r="G76" s="29">
        <f t="shared" si="16"/>
        <v>11.558293415065723</v>
      </c>
      <c r="H76" s="28">
        <v>2.8199999999999999E-2</v>
      </c>
      <c r="I76" s="28">
        <v>3.7000000000000002E-3</v>
      </c>
      <c r="J76" s="28">
        <v>6.6400000000000001E-2</v>
      </c>
      <c r="K76" s="20">
        <f t="shared" si="19"/>
        <v>443565.28456200002</v>
      </c>
      <c r="L76" s="20">
        <f t="shared" si="20"/>
        <v>58198.282017000005</v>
      </c>
      <c r="M76" s="20">
        <f t="shared" si="21"/>
        <v>1044423.2232240001</v>
      </c>
      <c r="N76" s="17">
        <f>((M76*10000)*357)+((L76*10000)*837)+((K76*10000)*244)</f>
        <v>5298009821723.251</v>
      </c>
      <c r="O76" s="18">
        <f>N76/N121</f>
        <v>3.5260007898362797E-4</v>
      </c>
      <c r="P76" s="16">
        <f t="shared" si="22"/>
        <v>0.99387985341591834</v>
      </c>
      <c r="Q76" s="33">
        <f t="shared" si="23"/>
        <v>74</v>
      </c>
      <c r="R76" s="8" t="s">
        <v>209</v>
      </c>
      <c r="S76" s="32"/>
    </row>
    <row r="77" spans="1:20" x14ac:dyDescent="0.2">
      <c r="A77" s="15" t="s">
        <v>46</v>
      </c>
      <c r="B77" s="20">
        <v>3773098</v>
      </c>
      <c r="C77" s="30">
        <v>0.25</v>
      </c>
      <c r="D77" s="23">
        <f t="shared" si="17"/>
        <v>943274.5</v>
      </c>
      <c r="E77" s="20">
        <v>6596795</v>
      </c>
      <c r="F77" s="19">
        <f t="shared" si="18"/>
        <v>0.57195926203557945</v>
      </c>
      <c r="G77" s="29">
        <f t="shared" si="16"/>
        <v>0.14298981550889486</v>
      </c>
      <c r="H77" s="28">
        <v>0.182</v>
      </c>
      <c r="I77" s="28">
        <v>0.438</v>
      </c>
      <c r="J77" s="28">
        <v>0.30199999999999999</v>
      </c>
      <c r="K77" s="20">
        <f t="shared" si="19"/>
        <v>171675.959</v>
      </c>
      <c r="L77" s="20">
        <f t="shared" si="20"/>
        <v>413154.23100000003</v>
      </c>
      <c r="M77" s="20">
        <f t="shared" si="21"/>
        <v>284868.89899999998</v>
      </c>
      <c r="N77" s="17">
        <f>((M77*10000)*407)+((L77*10000)*837)+((K77*10000)*347)</f>
        <v>5213232910130</v>
      </c>
      <c r="O77" s="18">
        <f>N77/N121</f>
        <v>3.4695789508257106E-4</v>
      </c>
      <c r="P77" s="16">
        <f t="shared" si="22"/>
        <v>0.99422681131100088</v>
      </c>
      <c r="Q77" s="33">
        <f t="shared" si="23"/>
        <v>75</v>
      </c>
      <c r="R77" s="8" t="s">
        <v>204</v>
      </c>
      <c r="S77" s="32"/>
    </row>
    <row r="78" spans="1:20" x14ac:dyDescent="0.2">
      <c r="A78" s="15" t="s">
        <v>48</v>
      </c>
      <c r="B78" s="20">
        <v>27298702</v>
      </c>
      <c r="C78" s="30">
        <v>0.7</v>
      </c>
      <c r="D78" s="23">
        <f t="shared" si="17"/>
        <v>19109091.399999999</v>
      </c>
      <c r="E78" s="20">
        <v>1980450</v>
      </c>
      <c r="F78" s="19">
        <f t="shared" si="18"/>
        <v>13.78409048448585</v>
      </c>
      <c r="G78" s="29">
        <f t="shared" si="16"/>
        <v>9.6488633391400942</v>
      </c>
      <c r="H78" s="28">
        <v>0.01</v>
      </c>
      <c r="I78" s="28">
        <v>1E-3</v>
      </c>
      <c r="J78" s="28">
        <v>6.5000000000000002E-2</v>
      </c>
      <c r="K78" s="20">
        <f t="shared" si="19"/>
        <v>191090.91399999999</v>
      </c>
      <c r="L78" s="20">
        <f t="shared" si="20"/>
        <v>19109.091399999998</v>
      </c>
      <c r="M78" s="20">
        <f t="shared" si="21"/>
        <v>1242090.9409999999</v>
      </c>
      <c r="N78" s="17">
        <f>((M78*10000)*357)+((L78*10000)*837)+((K78*10000)*244)</f>
        <v>5060469584547.999</v>
      </c>
      <c r="O78" s="18">
        <f>N78/N121</f>
        <v>3.3679099043751792E-4</v>
      </c>
      <c r="P78" s="16">
        <f t="shared" si="22"/>
        <v>0.99456360230143837</v>
      </c>
      <c r="Q78" s="33">
        <f t="shared" si="23"/>
        <v>76</v>
      </c>
      <c r="R78" s="8" t="s">
        <v>224</v>
      </c>
      <c r="S78" s="32"/>
    </row>
    <row r="79" spans="1:20" s="35" customFormat="1" x14ac:dyDescent="0.2">
      <c r="A79" s="15" t="s">
        <v>181</v>
      </c>
      <c r="B79" s="20">
        <v>30131696</v>
      </c>
      <c r="C79" s="30">
        <v>0.72</v>
      </c>
      <c r="D79" s="23">
        <f t="shared" si="17"/>
        <v>21694821.120000001</v>
      </c>
      <c r="E79" s="31">
        <v>928545</v>
      </c>
      <c r="F79" s="19">
        <f t="shared" si="18"/>
        <v>32.450442358744056</v>
      </c>
      <c r="G79" s="29">
        <f t="shared" si="16"/>
        <v>23.36431849829572</v>
      </c>
      <c r="H79" s="28">
        <v>2.86E-2</v>
      </c>
      <c r="I79" s="28">
        <v>3.8999999999999998E-3</v>
      </c>
      <c r="J79" s="28">
        <v>3.6299999999999999E-2</v>
      </c>
      <c r="K79" s="20">
        <f t="shared" si="19"/>
        <v>620471.88403200009</v>
      </c>
      <c r="L79" s="20">
        <f t="shared" si="20"/>
        <v>84609.802368000004</v>
      </c>
      <c r="M79" s="20">
        <f t="shared" si="21"/>
        <v>787522.00665600004</v>
      </c>
      <c r="N79" s="17">
        <f>((M79*10000)*357)+((L79*10000)*837)+((K79*10000)*244)</f>
        <v>5033589006620.1602</v>
      </c>
      <c r="O79" s="18">
        <f>N79/N121</f>
        <v>3.3500199905784576E-4</v>
      </c>
      <c r="P79" s="16">
        <f t="shared" si="22"/>
        <v>0.99489860430049626</v>
      </c>
      <c r="Q79" s="33">
        <f t="shared" si="23"/>
        <v>77</v>
      </c>
      <c r="R79" s="8" t="s">
        <v>228</v>
      </c>
      <c r="S79" s="32"/>
    </row>
    <row r="80" spans="1:20" x14ac:dyDescent="0.2">
      <c r="A80" s="15" t="s">
        <v>149</v>
      </c>
      <c r="B80" s="20">
        <v>1321540</v>
      </c>
      <c r="C80" s="30">
        <v>1</v>
      </c>
      <c r="D80" s="23">
        <f t="shared" si="17"/>
        <v>1321540</v>
      </c>
      <c r="E80" s="31">
        <v>1049090</v>
      </c>
      <c r="F80" s="19">
        <f t="shared" si="18"/>
        <v>1.2597012649057755</v>
      </c>
      <c r="G80" s="29">
        <f t="shared" si="16"/>
        <v>1.2597012649057755</v>
      </c>
      <c r="H80" s="61">
        <v>0.36199999999999999</v>
      </c>
      <c r="I80" s="61">
        <v>9.74E-2</v>
      </c>
      <c r="J80" s="61">
        <v>0.40400000000000003</v>
      </c>
      <c r="K80" s="20">
        <f t="shared" si="19"/>
        <v>478397.48</v>
      </c>
      <c r="L80" s="20">
        <f t="shared" si="20"/>
        <v>128717.996</v>
      </c>
      <c r="M80" s="20">
        <f t="shared" si="21"/>
        <v>533902.16</v>
      </c>
      <c r="N80" s="17">
        <f>((M80*10000)*407)+((L80*10000)*837)+((K80*10000)*347)</f>
        <v>4910390673320</v>
      </c>
      <c r="O80" s="18">
        <f>N80/N121</f>
        <v>3.2680274244752892E-4</v>
      </c>
      <c r="P80" s="16">
        <f t="shared" si="22"/>
        <v>0.99522540704294382</v>
      </c>
      <c r="Q80" s="33">
        <f t="shared" si="23"/>
        <v>78</v>
      </c>
      <c r="R80" s="8">
        <v>172423</v>
      </c>
      <c r="S80" s="32"/>
    </row>
    <row r="81" spans="1:19" x14ac:dyDescent="0.2">
      <c r="A81" s="15" t="s">
        <v>152</v>
      </c>
      <c r="B81" s="20">
        <v>27015904</v>
      </c>
      <c r="C81" s="30">
        <v>0.52</v>
      </c>
      <c r="D81" s="23">
        <f t="shared" si="17"/>
        <v>14048270.08</v>
      </c>
      <c r="E81" s="31">
        <v>1020947</v>
      </c>
      <c r="F81" s="19">
        <f t="shared" si="18"/>
        <v>26.461612600849996</v>
      </c>
      <c r="G81" s="29">
        <f t="shared" si="16"/>
        <v>13.760038552441998</v>
      </c>
      <c r="H81" s="61">
        <v>8.3999999999999995E-3</v>
      </c>
      <c r="I81" s="61">
        <v>1.9E-3</v>
      </c>
      <c r="J81" s="61">
        <v>8.1600000000000006E-2</v>
      </c>
      <c r="K81" s="20">
        <f t="shared" si="19"/>
        <v>118005.46867199999</v>
      </c>
      <c r="L81" s="20">
        <f t="shared" si="20"/>
        <v>26691.713152</v>
      </c>
      <c r="M81" s="20">
        <f t="shared" si="21"/>
        <v>1146338.8385280001</v>
      </c>
      <c r="N81" s="17">
        <f>((M81*10000)*360)+((L81*10000)*837)+((K81*10000)*336)</f>
        <v>4746727832520.9609</v>
      </c>
      <c r="O81" s="18">
        <f>N81/N121</f>
        <v>3.159104390101495E-4</v>
      </c>
      <c r="P81" s="16">
        <f t="shared" si="22"/>
        <v>0.99554131748195396</v>
      </c>
      <c r="Q81" s="33">
        <f t="shared" si="23"/>
        <v>79</v>
      </c>
      <c r="R81" s="8" t="s">
        <v>153</v>
      </c>
      <c r="S81" s="32"/>
    </row>
    <row r="82" spans="1:19" s="35" customFormat="1" x14ac:dyDescent="0.2">
      <c r="A82" s="15" t="s">
        <v>42</v>
      </c>
      <c r="B82" s="20">
        <v>8765103</v>
      </c>
      <c r="C82" s="30">
        <v>0.55000000000000004</v>
      </c>
      <c r="D82" s="23">
        <f t="shared" si="17"/>
        <v>4820806.6500000004</v>
      </c>
      <c r="E82" s="20">
        <v>1017852</v>
      </c>
      <c r="F82" s="19">
        <f t="shared" si="18"/>
        <v>8.6113727732519063</v>
      </c>
      <c r="G82" s="29">
        <f t="shared" si="16"/>
        <v>4.7362550252885489</v>
      </c>
      <c r="H82" s="28">
        <v>3.2800000000000003E-2</v>
      </c>
      <c r="I82" s="28">
        <v>7.7999999999999996E-3</v>
      </c>
      <c r="J82" s="28">
        <v>0.23499999999999999</v>
      </c>
      <c r="K82" s="20">
        <f t="shared" si="19"/>
        <v>158122.45812000002</v>
      </c>
      <c r="L82" s="20">
        <f t="shared" si="20"/>
        <v>37602.291870000001</v>
      </c>
      <c r="M82" s="20">
        <f t="shared" si="21"/>
        <v>1132889.56275</v>
      </c>
      <c r="N82" s="17">
        <f>((M82*10000)*357)+((L82*10000)*837)+((K82*10000)*244)</f>
        <v>4744965719782.2002</v>
      </c>
      <c r="O82" s="18">
        <f>N82/N121</f>
        <v>3.1579316457847187E-4</v>
      </c>
      <c r="P82" s="16">
        <f t="shared" si="22"/>
        <v>0.99585711064653248</v>
      </c>
      <c r="Q82" s="33">
        <f t="shared" si="23"/>
        <v>80</v>
      </c>
      <c r="R82" s="8">
        <v>168400</v>
      </c>
      <c r="S82" s="32"/>
    </row>
    <row r="83" spans="1:19" x14ac:dyDescent="0.2">
      <c r="A83" s="15" t="s">
        <v>168</v>
      </c>
      <c r="B83" s="20">
        <v>4261020</v>
      </c>
      <c r="C83" s="30">
        <v>0.82</v>
      </c>
      <c r="D83" s="23">
        <f t="shared" si="17"/>
        <v>3494036.4</v>
      </c>
      <c r="E83" s="31">
        <v>994528</v>
      </c>
      <c r="F83" s="19">
        <f t="shared" si="18"/>
        <v>4.2844645902377811</v>
      </c>
      <c r="G83" s="29">
        <f t="shared" si="16"/>
        <v>3.5132609639949806</v>
      </c>
      <c r="H83" s="61">
        <v>8.0000000000000002E-3</v>
      </c>
      <c r="I83" s="61">
        <v>4.0000000000000001E-3</v>
      </c>
      <c r="J83" s="61">
        <v>0.33500000000000002</v>
      </c>
      <c r="K83" s="20">
        <f t="shared" si="19"/>
        <v>27952.2912</v>
      </c>
      <c r="L83" s="20">
        <f t="shared" si="20"/>
        <v>13976.1456</v>
      </c>
      <c r="M83" s="20">
        <f t="shared" si="21"/>
        <v>1170502.1940000001</v>
      </c>
      <c r="N83" s="17">
        <f>((M83*10000)*360)+((L83*10000)*837)+((K83*10000)*336)</f>
        <v>4424707935504</v>
      </c>
      <c r="O83" s="18">
        <f>N83/N121</f>
        <v>2.9447894965033014E-4</v>
      </c>
      <c r="P83" s="16">
        <f t="shared" si="22"/>
        <v>0.99615158959618277</v>
      </c>
      <c r="Q83" s="33">
        <f t="shared" si="23"/>
        <v>81</v>
      </c>
      <c r="R83" s="8" t="s">
        <v>218</v>
      </c>
      <c r="S83" s="32"/>
    </row>
    <row r="84" spans="1:19" x14ac:dyDescent="0.2">
      <c r="A84" s="15" t="s">
        <v>47</v>
      </c>
      <c r="B84" s="20">
        <v>1696950</v>
      </c>
      <c r="C84" s="30">
        <v>0.75</v>
      </c>
      <c r="D84" s="23">
        <f t="shared" si="17"/>
        <v>1272712.5</v>
      </c>
      <c r="E84" s="20">
        <v>1809098</v>
      </c>
      <c r="F84" s="19">
        <f t="shared" si="18"/>
        <v>0.9380088861963255</v>
      </c>
      <c r="G84" s="29">
        <f t="shared" si="16"/>
        <v>0.7035066646472441</v>
      </c>
      <c r="H84" s="28">
        <v>0.13200000000000001</v>
      </c>
      <c r="I84" s="28">
        <v>3.4000000000000002E-2</v>
      </c>
      <c r="J84" s="28">
        <v>0.71499999999999997</v>
      </c>
      <c r="K84" s="20">
        <f t="shared" si="19"/>
        <v>167998.05000000002</v>
      </c>
      <c r="L84" s="20">
        <f t="shared" si="20"/>
        <v>43272.225000000006</v>
      </c>
      <c r="M84" s="20">
        <f t="shared" si="21"/>
        <v>909989.4375</v>
      </c>
      <c r="N84" s="17">
        <f>((M84*10000)*378)+((L84*10000)*837)+((K84*10000)*337)</f>
        <v>4368102025500</v>
      </c>
      <c r="O84" s="18">
        <f>N84/N121</f>
        <v>2.9071163909221977E-4</v>
      </c>
      <c r="P84" s="16">
        <f t="shared" si="22"/>
        <v>0.996442301235275</v>
      </c>
      <c r="Q84" s="33">
        <f t="shared" si="23"/>
        <v>82</v>
      </c>
      <c r="R84" s="8" t="s">
        <v>201</v>
      </c>
      <c r="S84" s="32"/>
    </row>
    <row r="85" spans="1:19" x14ac:dyDescent="0.2">
      <c r="A85" s="15" t="s">
        <v>50</v>
      </c>
      <c r="B85" s="20">
        <v>1125049</v>
      </c>
      <c r="C85" s="30">
        <v>0.61</v>
      </c>
      <c r="D85" s="23">
        <f t="shared" si="17"/>
        <v>686279.89</v>
      </c>
      <c r="E85" s="20">
        <v>1000818</v>
      </c>
      <c r="F85" s="19">
        <f t="shared" si="18"/>
        <v>1.1241294621000022</v>
      </c>
      <c r="G85" s="29">
        <f t="shared" si="16"/>
        <v>0.68571897188100139</v>
      </c>
      <c r="H85" s="28">
        <v>0.15</v>
      </c>
      <c r="I85" s="28">
        <v>0.60799999999999998</v>
      </c>
      <c r="J85" s="28">
        <v>0.16700000000000001</v>
      </c>
      <c r="K85" s="20">
        <f t="shared" si="19"/>
        <v>102941.9835</v>
      </c>
      <c r="L85" s="20">
        <f t="shared" si="20"/>
        <v>417258.17311999999</v>
      </c>
      <c r="M85" s="20">
        <f t="shared" si="21"/>
        <v>114608.74163</v>
      </c>
      <c r="N85" s="17">
        <f>((M85*10000)*407)+((L85*10000)*837)+((K85*10000)*347)</f>
        <v>4316117170193.5</v>
      </c>
      <c r="O85" s="18">
        <f>N85/N121</f>
        <v>2.8725187501026827E-4</v>
      </c>
      <c r="P85" s="16">
        <f t="shared" si="22"/>
        <v>0.99672955311028522</v>
      </c>
      <c r="Q85" s="33">
        <f t="shared" si="23"/>
        <v>83</v>
      </c>
      <c r="R85" s="8" t="s">
        <v>208</v>
      </c>
      <c r="S85" s="32"/>
    </row>
    <row r="86" spans="1:19" x14ac:dyDescent="0.2">
      <c r="A86" s="15" t="s">
        <v>165</v>
      </c>
      <c r="B86" s="20">
        <v>13641294</v>
      </c>
      <c r="C86" s="30">
        <v>0.68</v>
      </c>
      <c r="D86" s="23">
        <f t="shared" si="17"/>
        <v>9276079.9199999999</v>
      </c>
      <c r="E86" s="31">
        <v>457936</v>
      </c>
      <c r="F86" s="64">
        <f t="shared" si="18"/>
        <v>29.788647321896509</v>
      </c>
      <c r="G86" s="29">
        <f>F86*C86</f>
        <v>20.256280178889629</v>
      </c>
      <c r="H86" s="61">
        <v>4.7000000000000002E-3</v>
      </c>
      <c r="I86" s="61">
        <v>2.5999999999999999E-3</v>
      </c>
      <c r="J86" s="61">
        <v>0.108</v>
      </c>
      <c r="K86" s="20">
        <f t="shared" si="19"/>
        <v>43597.575624000005</v>
      </c>
      <c r="L86" s="20">
        <f t="shared" si="20"/>
        <v>24117.807792</v>
      </c>
      <c r="M86" s="20">
        <f t="shared" si="21"/>
        <v>1001816.63136</v>
      </c>
      <c r="N86" s="17">
        <f>((M86*10000)*360)+((L86*10000)*837)+((K86*10000)*336)</f>
        <v>3954893778211.6802</v>
      </c>
      <c r="O86" s="18">
        <f>N86/N121</f>
        <v>2.6321126337884332E-4</v>
      </c>
      <c r="P86" s="16">
        <f t="shared" si="22"/>
        <v>0.99699276437366402</v>
      </c>
      <c r="Q86" s="33">
        <f t="shared" si="23"/>
        <v>84</v>
      </c>
      <c r="R86" s="8" t="s">
        <v>213</v>
      </c>
      <c r="S86" s="32"/>
    </row>
    <row r="87" spans="1:19" x14ac:dyDescent="0.2">
      <c r="A87" s="15" t="s">
        <v>49</v>
      </c>
      <c r="B87" s="20">
        <v>952150</v>
      </c>
      <c r="C87" s="30">
        <v>0.74</v>
      </c>
      <c r="D87" s="23">
        <f t="shared" si="17"/>
        <v>704591</v>
      </c>
      <c r="E87" s="20">
        <v>1916891</v>
      </c>
      <c r="F87" s="19">
        <f t="shared" si="18"/>
        <v>0.49671577570138314</v>
      </c>
      <c r="G87" s="29">
        <f t="shared" ref="G87:G116" si="24">D87/E87</f>
        <v>0.36756967401902352</v>
      </c>
      <c r="H87" s="28">
        <v>0.30199999999999999</v>
      </c>
      <c r="I87" s="28">
        <v>0.49</v>
      </c>
      <c r="J87" s="28">
        <v>0.107</v>
      </c>
      <c r="K87" s="20">
        <f t="shared" si="19"/>
        <v>212786.48199999999</v>
      </c>
      <c r="L87" s="20">
        <f t="shared" si="20"/>
        <v>345249.58999999997</v>
      </c>
      <c r="M87" s="20">
        <f t="shared" si="21"/>
        <v>75391.236999999994</v>
      </c>
      <c r="N87" s="17">
        <f>((M87*10000)*407)+((L87*10000)*837)+((K87*10000)*347)</f>
        <v>3934950495429.9995</v>
      </c>
      <c r="O87" s="18">
        <f>N87/N121</f>
        <v>2.6188397193910675E-4</v>
      </c>
      <c r="P87" s="16">
        <f t="shared" si="22"/>
        <v>0.99725464834560318</v>
      </c>
      <c r="Q87" s="33">
        <f t="shared" si="23"/>
        <v>85</v>
      </c>
      <c r="R87" s="8" t="s">
        <v>211</v>
      </c>
      <c r="S87" s="32"/>
    </row>
    <row r="88" spans="1:19" x14ac:dyDescent="0.2">
      <c r="A88" s="15" t="s">
        <v>112</v>
      </c>
      <c r="B88" s="20">
        <v>2288799</v>
      </c>
      <c r="C88" s="30">
        <v>0.74</v>
      </c>
      <c r="D88" s="23">
        <f t="shared" si="17"/>
        <v>1693711.26</v>
      </c>
      <c r="E88" s="31">
        <v>577251</v>
      </c>
      <c r="F88" s="19">
        <f t="shared" si="18"/>
        <v>3.9649978951963702</v>
      </c>
      <c r="G88" s="29">
        <f t="shared" si="24"/>
        <v>2.9340984424453143</v>
      </c>
      <c r="H88" s="61">
        <v>2.4199999999999999E-2</v>
      </c>
      <c r="I88" s="61">
        <v>2.2599999999999999E-2</v>
      </c>
      <c r="J88" s="61">
        <v>0.45500000000000002</v>
      </c>
      <c r="K88" s="20">
        <f t="shared" si="19"/>
        <v>40987.812491999997</v>
      </c>
      <c r="L88" s="20">
        <f t="shared" si="20"/>
        <v>38277.874475999997</v>
      </c>
      <c r="M88" s="20">
        <f t="shared" si="21"/>
        <v>770638.62329999998</v>
      </c>
      <c r="N88" s="17">
        <f>((M88*10000)*407)+((L88*10000)*837)+((K88*10000)*347)</f>
        <v>3599112715542.3604</v>
      </c>
      <c r="O88" s="18">
        <f>N88/N121</f>
        <v>2.3953285676590929E-4</v>
      </c>
      <c r="P88" s="16">
        <f t="shared" si="22"/>
        <v>0.9974941812023691</v>
      </c>
      <c r="Q88" s="33">
        <f t="shared" si="23"/>
        <v>86</v>
      </c>
      <c r="R88" s="8">
        <v>170574</v>
      </c>
      <c r="S88" s="32"/>
    </row>
    <row r="89" spans="1:19" x14ac:dyDescent="0.2">
      <c r="A89" s="15" t="s">
        <v>95</v>
      </c>
      <c r="B89" s="20">
        <v>27025456</v>
      </c>
      <c r="C89" s="30">
        <v>1</v>
      </c>
      <c r="D89" s="23">
        <f t="shared" si="17"/>
        <v>27025456</v>
      </c>
      <c r="E89" s="20">
        <v>215899861</v>
      </c>
      <c r="F89" s="19">
        <f t="shared" si="18"/>
        <v>0.12517588420309358</v>
      </c>
      <c r="G89" s="29">
        <f t="shared" si="24"/>
        <v>0.12517588420309358</v>
      </c>
      <c r="H89" s="61">
        <v>7.0000000000000001E-3</v>
      </c>
      <c r="I89" s="61">
        <v>0</v>
      </c>
      <c r="J89" s="61">
        <v>2.7199999999999998E-2</v>
      </c>
      <c r="K89" s="20">
        <f t="shared" si="19"/>
        <v>189178.19200000001</v>
      </c>
      <c r="L89" s="20">
        <f t="shared" si="20"/>
        <v>0</v>
      </c>
      <c r="M89" s="20">
        <f t="shared" si="21"/>
        <v>735092.40319999994</v>
      </c>
      <c r="N89" s="17">
        <f>((M89*10000)*392)+((L89*10000)*837)+((K89*10000)*336)</f>
        <v>3517200945663.9995</v>
      </c>
      <c r="O89" s="18">
        <f>N89/N121</f>
        <v>2.3408135752361371E-4</v>
      </c>
      <c r="P89" s="16">
        <f t="shared" si="22"/>
        <v>0.99772826255989266</v>
      </c>
      <c r="Q89" s="33">
        <f t="shared" si="23"/>
        <v>87</v>
      </c>
      <c r="R89" s="8" t="s">
        <v>234</v>
      </c>
      <c r="S89" s="29"/>
    </row>
    <row r="90" spans="1:19" x14ac:dyDescent="0.2">
      <c r="A90" s="15" t="s">
        <v>184</v>
      </c>
      <c r="B90" s="20">
        <v>871731</v>
      </c>
      <c r="C90" s="30">
        <v>1</v>
      </c>
      <c r="D90" s="23">
        <f t="shared" si="17"/>
        <v>871731</v>
      </c>
      <c r="E90" s="31">
        <v>115743</v>
      </c>
      <c r="F90" s="19">
        <f t="shared" si="18"/>
        <v>7.5316088229957749</v>
      </c>
      <c r="G90" s="29">
        <f t="shared" si="24"/>
        <v>7.5316088229957749</v>
      </c>
      <c r="H90" s="28">
        <v>0</v>
      </c>
      <c r="I90" s="28">
        <v>0</v>
      </c>
      <c r="J90" s="28">
        <v>0.99980000000000002</v>
      </c>
      <c r="K90" s="20">
        <f t="shared" si="19"/>
        <v>0</v>
      </c>
      <c r="L90" s="20">
        <f t="shared" si="20"/>
        <v>0</v>
      </c>
      <c r="M90" s="20">
        <f t="shared" si="21"/>
        <v>871556.65379999997</v>
      </c>
      <c r="N90" s="17">
        <f>((M90*10000)*387)+((L90*10000)*837)+((K90*10000)*347)</f>
        <v>3372924250206</v>
      </c>
      <c r="O90" s="18">
        <f>N90/N121</f>
        <v>2.2447926618633478E-4</v>
      </c>
      <c r="P90" s="16">
        <f t="shared" si="22"/>
        <v>0.99795274182607896</v>
      </c>
      <c r="Q90" s="33">
        <f t="shared" si="23"/>
        <v>88</v>
      </c>
      <c r="R90" s="8" t="s">
        <v>229</v>
      </c>
      <c r="S90" s="32"/>
    </row>
    <row r="91" spans="1:19" x14ac:dyDescent="0.2">
      <c r="A91" s="15" t="s">
        <v>158</v>
      </c>
      <c r="B91" s="20">
        <v>9957239</v>
      </c>
      <c r="C91" s="30">
        <v>0.86</v>
      </c>
      <c r="D91" s="23">
        <f t="shared" si="17"/>
        <v>8563225.5399999991</v>
      </c>
      <c r="E91" s="31">
        <v>2528065</v>
      </c>
      <c r="F91" s="64">
        <f t="shared" si="18"/>
        <v>3.9386799785606779</v>
      </c>
      <c r="G91" s="29">
        <f t="shared" si="24"/>
        <v>3.3872647815621826</v>
      </c>
      <c r="H91" s="61">
        <v>1.9300000000000001E-2</v>
      </c>
      <c r="I91" s="61">
        <v>1.9E-3</v>
      </c>
      <c r="J91" s="61">
        <v>7.4499999999999997E-2</v>
      </c>
      <c r="K91" s="20">
        <f t="shared" si="19"/>
        <v>165270.25292199999</v>
      </c>
      <c r="L91" s="20">
        <f t="shared" si="20"/>
        <v>16270.128525999999</v>
      </c>
      <c r="M91" s="20">
        <f t="shared" si="21"/>
        <v>637960.30272999988</v>
      </c>
      <c r="N91" s="17">
        <f>((M91*10000)*407)+((L91*10000)*837)+((K91*10000)*347)</f>
        <v>3306167185513.0596</v>
      </c>
      <c r="O91" s="18">
        <f>N91/N121</f>
        <v>2.2003636270455346E-4</v>
      </c>
      <c r="P91" s="16">
        <f t="shared" si="22"/>
        <v>0.99817277818878347</v>
      </c>
      <c r="Q91" s="33">
        <f t="shared" si="23"/>
        <v>89</v>
      </c>
      <c r="R91" s="8" t="s">
        <v>163</v>
      </c>
      <c r="S91" s="32"/>
    </row>
    <row r="92" spans="1:19" s="35" customFormat="1" x14ac:dyDescent="0.2">
      <c r="A92" s="15" t="s">
        <v>161</v>
      </c>
      <c r="B92" s="20">
        <v>4360244</v>
      </c>
      <c r="C92" s="30">
        <v>0.9</v>
      </c>
      <c r="D92" s="23">
        <f t="shared" si="17"/>
        <v>3924219.6</v>
      </c>
      <c r="E92" s="31">
        <v>214335</v>
      </c>
      <c r="F92" s="64">
        <f t="shared" si="18"/>
        <v>20.343126414258055</v>
      </c>
      <c r="G92" s="29">
        <f t="shared" si="24"/>
        <v>18.308813772832249</v>
      </c>
      <c r="H92" s="61">
        <v>2.5000000000000001E-2</v>
      </c>
      <c r="I92" s="61">
        <v>1E-3</v>
      </c>
      <c r="J92" s="61">
        <v>0.16800000000000001</v>
      </c>
      <c r="K92" s="20">
        <f t="shared" si="19"/>
        <v>98105.49</v>
      </c>
      <c r="L92" s="20">
        <f t="shared" si="20"/>
        <v>3924.2196000000004</v>
      </c>
      <c r="M92" s="20">
        <f t="shared" si="21"/>
        <v>659268.89280000003</v>
      </c>
      <c r="N92" s="17">
        <f>((M92*10000)*384)+((L92*10000)*837)+((K92*10000)*278)</f>
        <v>2837171528604</v>
      </c>
      <c r="O92" s="18">
        <f>N92/N121</f>
        <v>1.8882315034109945E-4</v>
      </c>
      <c r="P92" s="16">
        <f t="shared" si="22"/>
        <v>0.99836160133912455</v>
      </c>
      <c r="Q92" s="33">
        <f t="shared" si="23"/>
        <v>90</v>
      </c>
      <c r="R92" s="8">
        <v>170000</v>
      </c>
      <c r="S92" s="32"/>
    </row>
    <row r="93" spans="1:19" x14ac:dyDescent="0.2">
      <c r="A93" s="15" t="s">
        <v>147</v>
      </c>
      <c r="B93" s="20">
        <v>27285193</v>
      </c>
      <c r="C93" s="30">
        <v>0.69</v>
      </c>
      <c r="D93" s="23">
        <f t="shared" si="17"/>
        <v>18826783.169999998</v>
      </c>
      <c r="E93" s="31">
        <v>1221200</v>
      </c>
      <c r="F93" s="19">
        <f t="shared" si="18"/>
        <v>22.342935637078284</v>
      </c>
      <c r="G93" s="29">
        <f t="shared" si="24"/>
        <v>15.416625589584013</v>
      </c>
      <c r="H93" s="61">
        <v>1.3599999999999999E-2</v>
      </c>
      <c r="I93" s="61">
        <v>1.5E-3</v>
      </c>
      <c r="J93" s="61">
        <v>2.87E-2</v>
      </c>
      <c r="K93" s="20">
        <f t="shared" si="19"/>
        <v>256044.25111199997</v>
      </c>
      <c r="L93" s="20">
        <f t="shared" si="20"/>
        <v>28240.174754999996</v>
      </c>
      <c r="M93" s="20">
        <f t="shared" si="21"/>
        <v>540328.67697899998</v>
      </c>
      <c r="N93" s="17">
        <f>((M93*10000)*357)+((L93*10000)*837)+((K93*10000)*244)</f>
        <v>2790091612227.6602</v>
      </c>
      <c r="O93" s="18">
        <f>N93/N121</f>
        <v>1.856898261700543E-4</v>
      </c>
      <c r="P93" s="16">
        <f t="shared" si="22"/>
        <v>0.99854729116529461</v>
      </c>
      <c r="Q93" s="33">
        <f t="shared" si="23"/>
        <v>91</v>
      </c>
      <c r="R93" s="8">
        <v>169249</v>
      </c>
      <c r="S93" s="32"/>
    </row>
    <row r="94" spans="1:19" x14ac:dyDescent="0.2">
      <c r="A94" s="15" t="s">
        <v>182</v>
      </c>
      <c r="B94" s="20">
        <v>9009629</v>
      </c>
      <c r="C94" s="30">
        <v>0.94</v>
      </c>
      <c r="D94" s="23">
        <f t="shared" si="17"/>
        <v>8469051.2599999998</v>
      </c>
      <c r="E94" s="31">
        <v>400026</v>
      </c>
      <c r="F94" s="19">
        <f t="shared" si="18"/>
        <v>22.52260853044552</v>
      </c>
      <c r="G94" s="29">
        <f t="shared" si="24"/>
        <v>21.171252018618791</v>
      </c>
      <c r="H94" s="28">
        <v>6.7000000000000002E-3</v>
      </c>
      <c r="I94" s="28">
        <v>3.0000000000000001E-3</v>
      </c>
      <c r="J94" s="28">
        <v>7.6799999999999993E-2</v>
      </c>
      <c r="K94" s="20">
        <f t="shared" si="19"/>
        <v>56742.643442000001</v>
      </c>
      <c r="L94" s="20">
        <f t="shared" si="20"/>
        <v>25407.153780000001</v>
      </c>
      <c r="M94" s="20">
        <f t="shared" si="21"/>
        <v>650423.13676799997</v>
      </c>
      <c r="N94" s="17">
        <f>((M94*10000)*360)+((L94*10000)*837)+((K94*10000)*336)</f>
        <v>2744836451468.52</v>
      </c>
      <c r="O94" s="18">
        <f>N94/N121</f>
        <v>1.8267794552146401E-4</v>
      </c>
      <c r="P94" s="16">
        <f t="shared" si="22"/>
        <v>0.99872996911081613</v>
      </c>
      <c r="Q94" s="33">
        <f t="shared" si="23"/>
        <v>92</v>
      </c>
      <c r="R94" s="8">
        <v>167762</v>
      </c>
      <c r="S94" s="32"/>
    </row>
    <row r="95" spans="1:19" s="35" customFormat="1" x14ac:dyDescent="0.2">
      <c r="A95" s="15" t="s">
        <v>170</v>
      </c>
      <c r="B95" s="20">
        <v>885119</v>
      </c>
      <c r="C95" s="30">
        <v>0.53</v>
      </c>
      <c r="D95" s="23">
        <f t="shared" si="17"/>
        <v>469113.07</v>
      </c>
      <c r="E95" s="31">
        <v>1049007</v>
      </c>
      <c r="F95" s="19">
        <f t="shared" si="18"/>
        <v>0.84376844005807394</v>
      </c>
      <c r="G95" s="29">
        <f t="shared" si="24"/>
        <v>0.44719727323077924</v>
      </c>
      <c r="H95" s="28">
        <v>0.20200000000000001</v>
      </c>
      <c r="I95" s="28">
        <v>0.45300000000000001</v>
      </c>
      <c r="J95" s="28">
        <v>0.27200000000000002</v>
      </c>
      <c r="K95" s="20">
        <f t="shared" si="19"/>
        <v>94760.84014</v>
      </c>
      <c r="L95" s="20">
        <f t="shared" si="20"/>
        <v>212508.22071000002</v>
      </c>
      <c r="M95" s="20">
        <f t="shared" si="21"/>
        <v>127598.75504000002</v>
      </c>
      <c r="N95" s="17">
        <f>((M95*10000)*407)+((L95*10000)*837)+((K95*10000)*347)</f>
        <v>2626840855641.2998</v>
      </c>
      <c r="O95" s="18">
        <f>N95/N121</f>
        <v>1.7482494830016679E-4</v>
      </c>
      <c r="P95" s="16">
        <f t="shared" si="22"/>
        <v>0.99890479405911625</v>
      </c>
      <c r="Q95" s="33">
        <f t="shared" si="23"/>
        <v>93</v>
      </c>
      <c r="R95" s="8" t="s">
        <v>220</v>
      </c>
      <c r="S95" s="32"/>
    </row>
    <row r="96" spans="1:19" x14ac:dyDescent="0.2">
      <c r="A96" s="15" t="s">
        <v>145</v>
      </c>
      <c r="B96" s="20">
        <v>20111634</v>
      </c>
      <c r="C96" s="30">
        <v>0.53</v>
      </c>
      <c r="D96" s="23">
        <f t="shared" si="17"/>
        <v>10659166.020000001</v>
      </c>
      <c r="E96" s="31">
        <v>1292561</v>
      </c>
      <c r="F96" s="19">
        <f t="shared" si="18"/>
        <v>15.559524076619981</v>
      </c>
      <c r="G96" s="29">
        <f t="shared" si="24"/>
        <v>8.2465477606085908</v>
      </c>
      <c r="H96" s="61">
        <v>3.5000000000000001E-3</v>
      </c>
      <c r="I96" s="61">
        <v>2.3999999999999998E-3</v>
      </c>
      <c r="J96" s="61">
        <v>6.9000000000000006E-2</v>
      </c>
      <c r="K96" s="20">
        <f t="shared" si="19"/>
        <v>37307.081070000007</v>
      </c>
      <c r="L96" s="20">
        <f t="shared" si="20"/>
        <v>25581.998448000002</v>
      </c>
      <c r="M96" s="20">
        <f t="shared" si="21"/>
        <v>735482.45538000017</v>
      </c>
      <c r="N96" s="17">
        <f>((M96*10000)*270)+((L96*10000)*837)+((K96*10000)*336)</f>
        <v>2325275748930.9609</v>
      </c>
      <c r="O96" s="18">
        <f>N96/N121</f>
        <v>1.5475479289789052E-4</v>
      </c>
      <c r="P96" s="16">
        <f t="shared" si="22"/>
        <v>0.99905954885201409</v>
      </c>
      <c r="Q96" s="33">
        <f t="shared" si="23"/>
        <v>94</v>
      </c>
      <c r="R96" s="8">
        <v>167747</v>
      </c>
      <c r="S96" s="32"/>
    </row>
    <row r="97" spans="1:20" x14ac:dyDescent="0.2">
      <c r="A97" s="15" t="s">
        <v>141</v>
      </c>
      <c r="B97" s="20">
        <v>4308215</v>
      </c>
      <c r="C97" s="30">
        <v>0.76</v>
      </c>
      <c r="D97" s="23">
        <f t="shared" si="17"/>
        <v>3274243.4</v>
      </c>
      <c r="E97" s="31">
        <v>266793</v>
      </c>
      <c r="F97" s="19">
        <f t="shared" si="18"/>
        <v>16.148156061066071</v>
      </c>
      <c r="G97" s="29">
        <f t="shared" si="24"/>
        <v>12.272598606410213</v>
      </c>
      <c r="H97" s="61">
        <v>1.14E-2</v>
      </c>
      <c r="I97" s="61">
        <v>5.1999999999999998E-3</v>
      </c>
      <c r="J97" s="61">
        <v>0.14699999999999999</v>
      </c>
      <c r="K97" s="20">
        <f t="shared" si="19"/>
        <v>37326.374759999999</v>
      </c>
      <c r="L97" s="20">
        <f t="shared" si="20"/>
        <v>17026.06568</v>
      </c>
      <c r="M97" s="20">
        <f t="shared" si="21"/>
        <v>481313.77979999996</v>
      </c>
      <c r="N97" s="17">
        <f>((M97*10000)*360)+((L97*10000)*837)+((K97*10000)*336)</f>
        <v>2000654396215.2002</v>
      </c>
      <c r="O97" s="18">
        <f>N97/N121</f>
        <v>1.3315016805593067E-4</v>
      </c>
      <c r="P97" s="16">
        <f t="shared" si="22"/>
        <v>0.99919269902007002</v>
      </c>
      <c r="Q97" s="33">
        <f t="shared" si="23"/>
        <v>95</v>
      </c>
      <c r="R97" s="8" t="s">
        <v>142</v>
      </c>
      <c r="S97" s="32"/>
      <c r="T97" s="34"/>
    </row>
    <row r="98" spans="1:20" x14ac:dyDescent="0.2">
      <c r="A98" s="15" t="s">
        <v>136</v>
      </c>
      <c r="B98" s="20">
        <v>9260139</v>
      </c>
      <c r="C98" s="30">
        <v>0.5</v>
      </c>
      <c r="D98" s="23">
        <f t="shared" si="17"/>
        <v>4630069.5</v>
      </c>
      <c r="E98" s="31">
        <v>347776</v>
      </c>
      <c r="F98" s="19">
        <f t="shared" si="18"/>
        <v>26.626733874677953</v>
      </c>
      <c r="G98" s="29">
        <f t="shared" si="24"/>
        <v>13.313366937338976</v>
      </c>
      <c r="H98" s="61">
        <v>7.7000000000000002E-3</v>
      </c>
      <c r="I98" s="61">
        <v>1.4E-3</v>
      </c>
      <c r="J98" s="61">
        <v>0.107</v>
      </c>
      <c r="K98" s="20">
        <f t="shared" si="19"/>
        <v>35651.535150000003</v>
      </c>
      <c r="L98" s="20">
        <f t="shared" si="20"/>
        <v>6482.0973000000004</v>
      </c>
      <c r="M98" s="20">
        <f t="shared" si="21"/>
        <v>495417.43650000001</v>
      </c>
      <c r="N98" s="17">
        <f>((M98*10000)*360)+((L98*10000)*837)+((K98*10000)*336)</f>
        <v>1957547083905</v>
      </c>
      <c r="O98" s="18">
        <f>N98/N121</f>
        <v>1.3028123382651004E-4</v>
      </c>
      <c r="P98" s="16">
        <f t="shared" si="22"/>
        <v>0.99932298025389654</v>
      </c>
      <c r="Q98" s="33">
        <f t="shared" si="23"/>
        <v>96</v>
      </c>
      <c r="R98" s="8">
        <v>174673</v>
      </c>
      <c r="S98" s="32"/>
      <c r="T98" s="34"/>
    </row>
    <row r="99" spans="1:20" x14ac:dyDescent="0.2">
      <c r="A99" s="15" t="s">
        <v>57</v>
      </c>
      <c r="B99" s="20">
        <v>699360</v>
      </c>
      <c r="C99" s="30">
        <v>0.8</v>
      </c>
      <c r="D99" s="23">
        <f t="shared" ref="D99:D130" si="25">B99*C99</f>
        <v>559488</v>
      </c>
      <c r="E99" s="31">
        <v>916526</v>
      </c>
      <c r="F99" s="19">
        <f t="shared" ref="F99:F130" si="26">B99/E99</f>
        <v>0.76305527611873536</v>
      </c>
      <c r="G99" s="29">
        <f t="shared" si="24"/>
        <v>0.61044422089498829</v>
      </c>
      <c r="H99" s="61">
        <v>7.0999999999999994E-2</v>
      </c>
      <c r="I99" s="61">
        <v>0.03</v>
      </c>
      <c r="J99" s="61">
        <v>0.74399999999999999</v>
      </c>
      <c r="K99" s="20">
        <f t="shared" ref="K99:K114" si="27">D99*H99</f>
        <v>39723.647999999994</v>
      </c>
      <c r="L99" s="20">
        <f t="shared" ref="L99:L116" si="28">D99*I99</f>
        <v>16784.64</v>
      </c>
      <c r="M99" s="20">
        <f t="shared" ref="M99:M116" si="29">D99*J99</f>
        <v>416259.07199999999</v>
      </c>
      <c r="N99" s="17">
        <f>((M99*10000)*378)+((L99*10000)*837)+((K99*10000)*337)</f>
        <v>1847815422720</v>
      </c>
      <c r="O99" s="18">
        <f>N99/N121</f>
        <v>1.2297822879201752E-4</v>
      </c>
      <c r="P99" s="16">
        <f t="shared" si="22"/>
        <v>0.99944595848268858</v>
      </c>
      <c r="Q99" s="33">
        <f t="shared" si="23"/>
        <v>97</v>
      </c>
      <c r="R99" s="8" t="s">
        <v>205</v>
      </c>
      <c r="S99" s="32"/>
    </row>
    <row r="100" spans="1:20" x14ac:dyDescent="0.2">
      <c r="A100" s="15" t="s">
        <v>97</v>
      </c>
      <c r="B100" s="20">
        <v>4042882</v>
      </c>
      <c r="C100" s="30">
        <v>0.94</v>
      </c>
      <c r="D100" s="23">
        <f t="shared" si="25"/>
        <v>3800309.0799999996</v>
      </c>
      <c r="E100" s="31">
        <v>553196</v>
      </c>
      <c r="F100" s="19">
        <f t="shared" si="26"/>
        <v>7.3082271021482441</v>
      </c>
      <c r="G100" s="29">
        <f t="shared" si="24"/>
        <v>6.8697334760193485</v>
      </c>
      <c r="H100" s="61">
        <v>1.4E-2</v>
      </c>
      <c r="I100" s="61">
        <v>3.8999999999999998E-3</v>
      </c>
      <c r="J100" s="61">
        <v>0.111</v>
      </c>
      <c r="K100" s="20">
        <f t="shared" si="27"/>
        <v>53204.327119999994</v>
      </c>
      <c r="L100" s="20">
        <f t="shared" si="28"/>
        <v>14821.205411999998</v>
      </c>
      <c r="M100" s="20">
        <f t="shared" si="29"/>
        <v>421834.30787999998</v>
      </c>
      <c r="N100" s="17">
        <f>((M100*10000)*360)+((L100*10000)*837)+((K100*10000)*336)</f>
        <v>1821423536789.6399</v>
      </c>
      <c r="O100" s="18">
        <f>N100/N121</f>
        <v>1.2122176148132744E-4</v>
      </c>
      <c r="P100" s="16">
        <f t="shared" ref="P100:P131" si="30">P99+O100</f>
        <v>0.99956718024416991</v>
      </c>
      <c r="Q100" s="33">
        <f t="shared" ref="Q100:Q116" si="31">Q99+1</f>
        <v>98</v>
      </c>
      <c r="R100" s="8">
        <v>171697</v>
      </c>
      <c r="S100" s="32"/>
    </row>
    <row r="101" spans="1:20" x14ac:dyDescent="0.2">
      <c r="A101" s="15" t="s">
        <v>128</v>
      </c>
      <c r="B101" s="20">
        <v>1303329</v>
      </c>
      <c r="C101" s="30">
        <v>0.99</v>
      </c>
      <c r="D101" s="23">
        <f t="shared" si="25"/>
        <v>1290295.71</v>
      </c>
      <c r="E101" s="31">
        <v>286197</v>
      </c>
      <c r="F101" s="19">
        <f t="shared" si="26"/>
        <v>4.5539575886539687</v>
      </c>
      <c r="G101" s="29">
        <f t="shared" si="24"/>
        <v>4.5084180127674296</v>
      </c>
      <c r="H101" s="61">
        <v>7.4999999999999997E-3</v>
      </c>
      <c r="I101" s="61">
        <v>3.0000000000000001E-3</v>
      </c>
      <c r="J101" s="61">
        <v>0.192</v>
      </c>
      <c r="K101" s="20">
        <f t="shared" si="27"/>
        <v>9677.2178249999997</v>
      </c>
      <c r="L101" s="20">
        <f t="shared" si="28"/>
        <v>3870.8871300000001</v>
      </c>
      <c r="M101" s="20">
        <f t="shared" si="29"/>
        <v>247736.77632</v>
      </c>
      <c r="N101" s="17">
        <f>((M101*10000)*360)+((L101*10000)*837)+((K101*10000)*336)</f>
        <v>956767171922.09985</v>
      </c>
      <c r="O101" s="18">
        <f>N101/N121</f>
        <v>6.3676020192606029E-5</v>
      </c>
      <c r="P101" s="16">
        <f t="shared" si="30"/>
        <v>0.99963085626436254</v>
      </c>
      <c r="Q101" s="33">
        <f t="shared" si="31"/>
        <v>99</v>
      </c>
      <c r="R101" s="8" t="s">
        <v>129</v>
      </c>
      <c r="S101" s="32"/>
    </row>
    <row r="102" spans="1:20" x14ac:dyDescent="0.2">
      <c r="A102" s="15" t="s">
        <v>105</v>
      </c>
      <c r="B102" s="20">
        <v>219968</v>
      </c>
      <c r="C102" s="30">
        <v>0.97</v>
      </c>
      <c r="D102" s="23">
        <f t="shared" si="25"/>
        <v>213368.95999999999</v>
      </c>
      <c r="E102" s="31">
        <v>346841</v>
      </c>
      <c r="F102" s="19">
        <f t="shared" si="26"/>
        <v>0.63420414541533443</v>
      </c>
      <c r="G102" s="29">
        <f t="shared" si="24"/>
        <v>0.61517802105287434</v>
      </c>
      <c r="H102" s="61">
        <v>0.2</v>
      </c>
      <c r="I102" s="61">
        <v>5.9499999999999997E-2</v>
      </c>
      <c r="J102" s="61">
        <v>0.5625</v>
      </c>
      <c r="K102" s="20">
        <f t="shared" si="27"/>
        <v>42673.792000000001</v>
      </c>
      <c r="L102" s="20">
        <f t="shared" si="28"/>
        <v>12695.453119999998</v>
      </c>
      <c r="M102" s="20">
        <f t="shared" si="29"/>
        <v>120020.04</v>
      </c>
      <c r="N102" s="17">
        <f>((M102*10000)*407)+((L102*10000)*837)+((K102*10000)*347)</f>
        <v>742820563654.40002</v>
      </c>
      <c r="O102" s="18">
        <f>N102/N121</f>
        <v>4.943716569593143E-5</v>
      </c>
      <c r="P102" s="16">
        <f t="shared" si="30"/>
        <v>0.99968029343005849</v>
      </c>
      <c r="Q102" s="33">
        <f t="shared" si="31"/>
        <v>100</v>
      </c>
      <c r="R102" s="8" t="s">
        <v>205</v>
      </c>
      <c r="S102" s="32"/>
    </row>
    <row r="103" spans="1:20" s="35" customFormat="1" x14ac:dyDescent="0.2">
      <c r="A103" s="15" t="s">
        <v>94</v>
      </c>
      <c r="B103" s="20">
        <v>76848</v>
      </c>
      <c r="C103" s="30">
        <v>1</v>
      </c>
      <c r="D103" s="23">
        <f t="shared" si="25"/>
        <v>76848</v>
      </c>
      <c r="E103" s="31">
        <v>647967</v>
      </c>
      <c r="F103" s="19">
        <f t="shared" si="26"/>
        <v>0.11859863233775794</v>
      </c>
      <c r="G103" s="55">
        <f t="shared" si="24"/>
        <v>0.11859863233775794</v>
      </c>
      <c r="H103" s="61">
        <v>0</v>
      </c>
      <c r="I103" s="61">
        <v>1</v>
      </c>
      <c r="J103" s="61">
        <v>0</v>
      </c>
      <c r="K103" s="20">
        <f t="shared" si="27"/>
        <v>0</v>
      </c>
      <c r="L103" s="20">
        <f t="shared" si="28"/>
        <v>76848</v>
      </c>
      <c r="M103" s="20">
        <f t="shared" si="29"/>
        <v>0</v>
      </c>
      <c r="N103" s="17">
        <f>((M103*10000)*400)+((L103*10000)*884)+((K103*10000)*400)</f>
        <v>679336320000</v>
      </c>
      <c r="O103" s="18">
        <f>N103/N121</f>
        <v>4.5212079280467513E-5</v>
      </c>
      <c r="P103" s="16">
        <f t="shared" si="30"/>
        <v>0.99972550550933892</v>
      </c>
      <c r="Q103" s="33">
        <f t="shared" si="31"/>
        <v>101</v>
      </c>
      <c r="R103" s="8" t="s">
        <v>193</v>
      </c>
      <c r="S103" s="32"/>
    </row>
    <row r="104" spans="1:20" x14ac:dyDescent="0.2">
      <c r="A104" s="15" t="s">
        <v>174</v>
      </c>
      <c r="B104" s="20">
        <v>161054</v>
      </c>
      <c r="C104" s="30">
        <v>1</v>
      </c>
      <c r="D104" s="23">
        <f t="shared" si="25"/>
        <v>161054</v>
      </c>
      <c r="E104" s="31">
        <v>184164</v>
      </c>
      <c r="F104" s="19">
        <f t="shared" si="26"/>
        <v>0.87451402011250845</v>
      </c>
      <c r="G104" s="29">
        <f t="shared" si="24"/>
        <v>0.87451402011250845</v>
      </c>
      <c r="H104" s="28">
        <v>0.14099999999999999</v>
      </c>
      <c r="I104" s="28">
        <v>6.0699999999999997E-2</v>
      </c>
      <c r="J104" s="28">
        <v>0.64200000000000002</v>
      </c>
      <c r="K104" s="20">
        <f t="shared" si="27"/>
        <v>22708.613999999998</v>
      </c>
      <c r="L104" s="20">
        <f t="shared" si="28"/>
        <v>9775.9777999999988</v>
      </c>
      <c r="M104" s="20">
        <f t="shared" si="29"/>
        <v>103396.66800000001</v>
      </c>
      <c r="N104" s="17">
        <f>((M104*10000)*407)+((L104*10000)*837)+((K104*10000)*347)</f>
        <v>581448263526</v>
      </c>
      <c r="O104" s="18">
        <f>N104/N121</f>
        <v>3.8697305317089006E-5</v>
      </c>
      <c r="P104" s="16">
        <f t="shared" si="30"/>
        <v>0.99976420281465606</v>
      </c>
      <c r="Q104" s="33">
        <f t="shared" si="31"/>
        <v>102</v>
      </c>
      <c r="R104" s="8" t="s">
        <v>225</v>
      </c>
      <c r="S104" s="32"/>
    </row>
    <row r="105" spans="1:20" x14ac:dyDescent="0.2">
      <c r="A105" s="15" t="s">
        <v>143</v>
      </c>
      <c r="B105" s="20">
        <v>2150234</v>
      </c>
      <c r="C105" s="30">
        <v>0.44</v>
      </c>
      <c r="D105" s="23">
        <f t="shared" si="25"/>
        <v>946102.96</v>
      </c>
      <c r="E105" s="31">
        <v>133480</v>
      </c>
      <c r="F105" s="19">
        <f t="shared" si="26"/>
        <v>16.109035061432426</v>
      </c>
      <c r="G105" s="29">
        <f t="shared" si="24"/>
        <v>7.0879754270302664</v>
      </c>
      <c r="H105" s="61">
        <v>1.4999999999999999E-2</v>
      </c>
      <c r="I105" s="61">
        <v>3.0000000000000001E-3</v>
      </c>
      <c r="J105" s="61">
        <v>0.14199999999999999</v>
      </c>
      <c r="K105" s="20">
        <f t="shared" si="27"/>
        <v>14191.544399999999</v>
      </c>
      <c r="L105" s="20">
        <f t="shared" si="28"/>
        <v>2838.30888</v>
      </c>
      <c r="M105" s="20">
        <f t="shared" si="29"/>
        <v>134346.62031999999</v>
      </c>
      <c r="N105" s="17">
        <f>((M105*10000)*384)+((L105*10000)*837)+((K105*10000)*278)</f>
        <v>579100160786.3999</v>
      </c>
      <c r="O105" s="18">
        <f>N105/N121</f>
        <v>3.8541031312452416E-5</v>
      </c>
      <c r="P105" s="16">
        <f t="shared" si="30"/>
        <v>0.99980274384596846</v>
      </c>
      <c r="Q105" s="33">
        <f t="shared" si="31"/>
        <v>103</v>
      </c>
      <c r="R105" s="8" t="s">
        <v>144</v>
      </c>
      <c r="S105" s="32"/>
    </row>
    <row r="106" spans="1:20" s="35" customFormat="1" x14ac:dyDescent="0.2">
      <c r="A106" s="15" t="s">
        <v>108</v>
      </c>
      <c r="B106" s="20">
        <v>840690</v>
      </c>
      <c r="C106" s="30">
        <v>0.95</v>
      </c>
      <c r="D106" s="23">
        <f t="shared" si="25"/>
        <v>798655.5</v>
      </c>
      <c r="E106" s="31">
        <v>122864</v>
      </c>
      <c r="F106" s="19">
        <f t="shared" si="26"/>
        <v>6.8424436775621826</v>
      </c>
      <c r="G106" s="29">
        <f t="shared" si="24"/>
        <v>6.5003214936840736</v>
      </c>
      <c r="H106" s="61">
        <v>7.4000000000000003E-3</v>
      </c>
      <c r="I106" s="61">
        <v>3.3E-3</v>
      </c>
      <c r="J106" s="61">
        <v>0.14499999999999999</v>
      </c>
      <c r="K106" s="20">
        <f t="shared" si="27"/>
        <v>5910.0507000000007</v>
      </c>
      <c r="L106" s="20">
        <f t="shared" si="28"/>
        <v>2635.56315</v>
      </c>
      <c r="M106" s="20">
        <f t="shared" si="29"/>
        <v>115805.04749999999</v>
      </c>
      <c r="N106" s="17">
        <f>((M106*10000)*360)+((L106*10000)*837)+((K106*10000)*336)</f>
        <v>458815604917.49994</v>
      </c>
      <c r="O106" s="18">
        <f>N106/N121</f>
        <v>3.0535696228704021E-5</v>
      </c>
      <c r="P106" s="16">
        <f t="shared" si="30"/>
        <v>0.99983327954219714</v>
      </c>
      <c r="Q106" s="33">
        <f t="shared" si="31"/>
        <v>104</v>
      </c>
      <c r="R106" s="8">
        <v>171711</v>
      </c>
      <c r="S106" s="32"/>
    </row>
    <row r="107" spans="1:20" s="35" customFormat="1" x14ac:dyDescent="0.2">
      <c r="A107" s="15" t="s">
        <v>106</v>
      </c>
      <c r="B107" s="20">
        <v>975490</v>
      </c>
      <c r="C107" s="30">
        <v>0.95</v>
      </c>
      <c r="D107" s="23">
        <f t="shared" si="25"/>
        <v>926715.5</v>
      </c>
      <c r="E107" s="31">
        <v>127384</v>
      </c>
      <c r="F107" s="19">
        <f t="shared" si="26"/>
        <v>7.6578691201406768</v>
      </c>
      <c r="G107" s="29">
        <f t="shared" si="24"/>
        <v>7.2749756641336427</v>
      </c>
      <c r="H107" s="61">
        <v>1.3899999999999999E-2</v>
      </c>
      <c r="I107" s="61">
        <v>4.8999999999999998E-3</v>
      </c>
      <c r="J107" s="61">
        <v>9.6100000000000005E-2</v>
      </c>
      <c r="K107" s="20">
        <f t="shared" si="27"/>
        <v>12881.345449999999</v>
      </c>
      <c r="L107" s="20">
        <f t="shared" si="28"/>
        <v>4540.9059500000003</v>
      </c>
      <c r="M107" s="20">
        <f t="shared" si="29"/>
        <v>89057.359550000008</v>
      </c>
      <c r="N107" s="17">
        <f>((M107*10000)*360)+((L107*10000)*837)+((K107*10000)*336)</f>
        <v>401895197893.50006</v>
      </c>
      <c r="O107" s="18">
        <f>N107/N121</f>
        <v>2.6747454853584312E-5</v>
      </c>
      <c r="P107" s="16">
        <f t="shared" si="30"/>
        <v>0.99986002699705068</v>
      </c>
      <c r="Q107" s="33">
        <f t="shared" si="31"/>
        <v>105</v>
      </c>
      <c r="R107" s="8">
        <v>173946</v>
      </c>
      <c r="S107" s="32"/>
    </row>
    <row r="108" spans="1:20" s="35" customFormat="1" x14ac:dyDescent="0.2">
      <c r="A108" s="15" t="s">
        <v>121</v>
      </c>
      <c r="B108" s="20">
        <v>644978</v>
      </c>
      <c r="C108" s="30">
        <v>0.98</v>
      </c>
      <c r="D108" s="23">
        <f t="shared" si="25"/>
        <v>632078.43999999994</v>
      </c>
      <c r="E108" s="31">
        <v>135099</v>
      </c>
      <c r="F108" s="19">
        <f t="shared" si="26"/>
        <v>4.7741137980295933</v>
      </c>
      <c r="G108" s="29">
        <f t="shared" si="24"/>
        <v>4.6786315220690007</v>
      </c>
      <c r="H108" s="61">
        <v>1.4E-2</v>
      </c>
      <c r="I108" s="61">
        <v>4.1000000000000003E-3</v>
      </c>
      <c r="J108" s="61">
        <v>0.154</v>
      </c>
      <c r="K108" s="20">
        <f t="shared" si="27"/>
        <v>8849.0981599999996</v>
      </c>
      <c r="L108" s="20">
        <f t="shared" si="28"/>
        <v>2591.521604</v>
      </c>
      <c r="M108" s="20">
        <f t="shared" si="29"/>
        <v>97340.079759999993</v>
      </c>
      <c r="N108" s="17">
        <f>((M108*10000)*360)+((L108*10000)*837)+((K108*10000)*336)</f>
        <v>401848292779.0799</v>
      </c>
      <c r="O108" s="18">
        <f>N108/N121</f>
        <v>2.674433316306168E-5</v>
      </c>
      <c r="P108" s="16">
        <f t="shared" si="30"/>
        <v>0.99988677133021375</v>
      </c>
      <c r="Q108" s="33">
        <f t="shared" si="31"/>
        <v>106</v>
      </c>
      <c r="R108" s="8" t="s">
        <v>122</v>
      </c>
      <c r="S108" s="32"/>
    </row>
    <row r="109" spans="1:20" s="35" customFormat="1" x14ac:dyDescent="0.2">
      <c r="A109" s="15" t="s">
        <v>183</v>
      </c>
      <c r="B109" s="20">
        <v>1444919</v>
      </c>
      <c r="C109" s="30">
        <v>0.88</v>
      </c>
      <c r="D109" s="23">
        <f t="shared" si="25"/>
        <v>1271528.72</v>
      </c>
      <c r="E109" s="31">
        <v>143164</v>
      </c>
      <c r="F109" s="19">
        <f t="shared" si="26"/>
        <v>10.092753764912967</v>
      </c>
      <c r="G109" s="29">
        <f t="shared" si="24"/>
        <v>8.881623313123411</v>
      </c>
      <c r="H109" s="28">
        <v>1.83E-2</v>
      </c>
      <c r="I109" s="28">
        <v>2.2000000000000001E-3</v>
      </c>
      <c r="J109" s="28">
        <v>6.9699999999999998E-2</v>
      </c>
      <c r="K109" s="20">
        <f t="shared" si="27"/>
        <v>23268.975576000001</v>
      </c>
      <c r="L109" s="20">
        <f t="shared" si="28"/>
        <v>2797.3631840000003</v>
      </c>
      <c r="M109" s="20">
        <f t="shared" si="29"/>
        <v>88625.551783999996</v>
      </c>
      <c r="N109" s="17">
        <f>((M109*10000)*357)+((L109*10000)*837)+((K109*10000)*244)</f>
        <v>396583450124.39996</v>
      </c>
      <c r="O109" s="18">
        <f>N109/N121</f>
        <v>2.6393940468758839E-5</v>
      </c>
      <c r="P109" s="16">
        <f t="shared" si="30"/>
        <v>0.99991316527068252</v>
      </c>
      <c r="Q109" s="33">
        <f t="shared" si="31"/>
        <v>107</v>
      </c>
      <c r="R109" s="9" t="s">
        <v>199</v>
      </c>
      <c r="S109" s="32"/>
      <c r="T109" s="34"/>
    </row>
    <row r="110" spans="1:20" x14ac:dyDescent="0.2">
      <c r="A110" s="15" t="s">
        <v>189</v>
      </c>
      <c r="B110" s="20">
        <v>404016</v>
      </c>
      <c r="C110" s="30">
        <v>0.86</v>
      </c>
      <c r="D110" s="23">
        <f t="shared" si="25"/>
        <v>347453.76</v>
      </c>
      <c r="E110" s="31">
        <v>33206</v>
      </c>
      <c r="F110" s="19">
        <f t="shared" si="26"/>
        <v>12.166957778714691</v>
      </c>
      <c r="G110" s="29">
        <f t="shared" si="24"/>
        <v>10.463583689694634</v>
      </c>
      <c r="H110" s="28">
        <v>1.46E-2</v>
      </c>
      <c r="I110" s="28">
        <v>4.0000000000000001E-3</v>
      </c>
      <c r="J110" s="28">
        <v>0.23599999999999999</v>
      </c>
      <c r="K110" s="20">
        <f t="shared" si="27"/>
        <v>5072.8248960000001</v>
      </c>
      <c r="L110" s="20">
        <f t="shared" si="28"/>
        <v>1389.81504</v>
      </c>
      <c r="M110" s="20">
        <f t="shared" si="29"/>
        <v>81999.087360000005</v>
      </c>
      <c r="N110" s="17">
        <f>((M110*10000)*384)+((L110*10000)*837)+((K110*10000)*278)</f>
        <v>340611700558.08002</v>
      </c>
      <c r="O110" s="18">
        <f>N110/N121</f>
        <v>2.2668835385522704E-5</v>
      </c>
      <c r="P110" s="16">
        <f t="shared" si="30"/>
        <v>0.99993583410606801</v>
      </c>
      <c r="Q110" s="33">
        <f t="shared" si="31"/>
        <v>108</v>
      </c>
      <c r="R110" s="8" t="s">
        <v>233</v>
      </c>
      <c r="S110" s="32"/>
    </row>
    <row r="111" spans="1:20" s="35" customFormat="1" x14ac:dyDescent="0.2">
      <c r="A111" s="15" t="s">
        <v>118</v>
      </c>
      <c r="B111" s="20">
        <v>662512</v>
      </c>
      <c r="C111" s="30">
        <v>0.98</v>
      </c>
      <c r="D111" s="23">
        <f t="shared" si="25"/>
        <v>649261.76</v>
      </c>
      <c r="E111" s="31">
        <v>41688</v>
      </c>
      <c r="F111" s="19">
        <f t="shared" si="26"/>
        <v>15.892151218576089</v>
      </c>
      <c r="G111" s="29">
        <f t="shared" si="24"/>
        <v>15.574308194204567</v>
      </c>
      <c r="H111" s="61">
        <v>4.5999999999999999E-3</v>
      </c>
      <c r="I111" s="61">
        <v>1.2999999999999999E-3</v>
      </c>
      <c r="J111" s="61">
        <v>0.12</v>
      </c>
      <c r="K111" s="20">
        <f t="shared" si="27"/>
        <v>2986.604096</v>
      </c>
      <c r="L111" s="20">
        <f t="shared" si="28"/>
        <v>844.04028799999992</v>
      </c>
      <c r="M111" s="20">
        <f t="shared" si="29"/>
        <v>77911.411200000002</v>
      </c>
      <c r="N111" s="17">
        <f>((M111*10000)*360)+((L111*10000)*837)+((K111*10000)*336)</f>
        <v>297580687293.12</v>
      </c>
      <c r="O111" s="65">
        <f>N111/N121</f>
        <v>1.9804979109953303E-5</v>
      </c>
      <c r="P111" s="65">
        <f t="shared" si="30"/>
        <v>0.99995563908517793</v>
      </c>
      <c r="Q111" s="33">
        <f t="shared" si="31"/>
        <v>109</v>
      </c>
      <c r="R111" s="8" t="s">
        <v>119</v>
      </c>
      <c r="S111" s="32"/>
    </row>
    <row r="112" spans="1:20" s="35" customFormat="1" x14ac:dyDescent="0.2">
      <c r="A112" s="15" t="s">
        <v>98</v>
      </c>
      <c r="B112" s="20">
        <v>1582622</v>
      </c>
      <c r="C112" s="30">
        <v>0.4</v>
      </c>
      <c r="D112" s="23">
        <f t="shared" si="25"/>
        <v>633048.80000000005</v>
      </c>
      <c r="E112" s="31">
        <v>121797</v>
      </c>
      <c r="F112" s="19">
        <f t="shared" si="26"/>
        <v>12.993932527073737</v>
      </c>
      <c r="G112" s="29">
        <f t="shared" si="24"/>
        <v>5.1975730108294957</v>
      </c>
      <c r="H112" s="61">
        <v>3.27E-2</v>
      </c>
      <c r="I112" s="61">
        <v>1.5E-3</v>
      </c>
      <c r="J112" s="61">
        <v>0.105</v>
      </c>
      <c r="K112" s="20">
        <f t="shared" si="27"/>
        <v>20700.695760000002</v>
      </c>
      <c r="L112" s="20">
        <f t="shared" si="28"/>
        <v>949.57320000000004</v>
      </c>
      <c r="M112" s="20">
        <f t="shared" si="29"/>
        <v>66470.123999999996</v>
      </c>
      <c r="N112" s="17">
        <f>((M112*10000)*357)+((L112*10000)*837)+((K112*10000)*244)</f>
        <v>295755968018.40002</v>
      </c>
      <c r="O112" s="65">
        <f>N112/N121</f>
        <v>1.9683538006210703E-5</v>
      </c>
      <c r="P112" s="65">
        <f t="shared" si="30"/>
        <v>0.99997532262318412</v>
      </c>
      <c r="Q112" s="33">
        <f t="shared" si="31"/>
        <v>110</v>
      </c>
      <c r="R112" s="8">
        <v>169205</v>
      </c>
      <c r="S112" s="32"/>
    </row>
    <row r="113" spans="1:20" x14ac:dyDescent="0.2">
      <c r="A113" s="15" t="s">
        <v>173</v>
      </c>
      <c r="B113" s="20">
        <v>657016</v>
      </c>
      <c r="C113" s="30">
        <v>0.61</v>
      </c>
      <c r="D113" s="23">
        <f t="shared" si="25"/>
        <v>400779.76</v>
      </c>
      <c r="E113" s="31">
        <v>75298</v>
      </c>
      <c r="F113" s="19">
        <f t="shared" si="26"/>
        <v>8.7255438391457947</v>
      </c>
      <c r="G113" s="29">
        <f t="shared" si="24"/>
        <v>5.3225817418789347</v>
      </c>
      <c r="H113" s="28">
        <v>4.0000000000000001E-3</v>
      </c>
      <c r="I113" s="28">
        <v>1E-3</v>
      </c>
      <c r="J113" s="28">
        <v>0.153</v>
      </c>
      <c r="K113" s="20">
        <f t="shared" si="27"/>
        <v>1603.11904</v>
      </c>
      <c r="L113" s="20">
        <f t="shared" si="28"/>
        <v>400.77976000000001</v>
      </c>
      <c r="M113" s="20">
        <f t="shared" si="29"/>
        <v>61319.30328</v>
      </c>
      <c r="N113" s="17">
        <f>((M113*10000)*360)+((L113*10000)*837)+((K113*10000)*336)</f>
        <v>229490498373.59998</v>
      </c>
      <c r="O113" s="65">
        <f>N113/N121</f>
        <v>1.5273351801036051E-5</v>
      </c>
      <c r="P113" s="65">
        <f t="shared" si="30"/>
        <v>0.99999059597498519</v>
      </c>
      <c r="Q113" s="33">
        <f t="shared" si="31"/>
        <v>111</v>
      </c>
      <c r="R113" s="8">
        <v>168163</v>
      </c>
      <c r="S113" s="32"/>
    </row>
    <row r="114" spans="1:20" s="35" customFormat="1" x14ac:dyDescent="0.2">
      <c r="A114" s="15" t="s">
        <v>179</v>
      </c>
      <c r="B114" s="20">
        <v>841351</v>
      </c>
      <c r="C114" s="30">
        <v>0.96</v>
      </c>
      <c r="D114" s="23">
        <f t="shared" si="25"/>
        <v>807696.96</v>
      </c>
      <c r="E114" s="31">
        <v>122195</v>
      </c>
      <c r="F114" s="19">
        <f t="shared" si="26"/>
        <v>6.8853144564016535</v>
      </c>
      <c r="G114" s="29">
        <f t="shared" si="24"/>
        <v>6.6099018781455863</v>
      </c>
      <c r="H114" s="28">
        <v>1.2E-2</v>
      </c>
      <c r="I114" s="28">
        <v>6.4999999999999997E-3</v>
      </c>
      <c r="J114" s="28">
        <v>0</v>
      </c>
      <c r="K114" s="20">
        <f t="shared" si="27"/>
        <v>9692.363519999999</v>
      </c>
      <c r="L114" s="20">
        <f t="shared" si="28"/>
        <v>5250.0302399999991</v>
      </c>
      <c r="M114" s="20">
        <f t="shared" si="29"/>
        <v>0</v>
      </c>
      <c r="N114" s="17">
        <f>((M114*10000)*360)+((L114*10000)*837)+((K114*10000)*336)</f>
        <v>76509094536</v>
      </c>
      <c r="O114" s="65">
        <f>N114/N121</f>
        <v>5.0919333266892251E-6</v>
      </c>
      <c r="P114" s="65">
        <f t="shared" si="30"/>
        <v>0.99999568790831184</v>
      </c>
      <c r="Q114" s="33">
        <f t="shared" si="31"/>
        <v>112</v>
      </c>
      <c r="R114" s="8" t="s">
        <v>226</v>
      </c>
      <c r="S114" s="32"/>
    </row>
    <row r="115" spans="1:20" x14ac:dyDescent="0.2">
      <c r="A115" s="15" t="s">
        <v>131</v>
      </c>
      <c r="B115" s="20">
        <v>80627</v>
      </c>
      <c r="C115" s="30">
        <v>1</v>
      </c>
      <c r="D115" s="23">
        <f t="shared" si="25"/>
        <v>80627</v>
      </c>
      <c r="E115" s="31">
        <v>15084</v>
      </c>
      <c r="F115" s="19">
        <f t="shared" si="26"/>
        <v>5.3452002121453193</v>
      </c>
      <c r="G115" s="29">
        <f t="shared" si="24"/>
        <v>5.3452002121453193</v>
      </c>
      <c r="H115" s="61">
        <v>8.8000000000000005E-3</v>
      </c>
      <c r="I115" s="61">
        <v>5.7999999999999996E-3</v>
      </c>
      <c r="J115" s="61">
        <v>0.10199999999999999</v>
      </c>
      <c r="K115" s="20">
        <f>D115*H115</f>
        <v>709.51760000000002</v>
      </c>
      <c r="L115" s="20">
        <f t="shared" si="28"/>
        <v>467.63659999999999</v>
      </c>
      <c r="M115" s="20">
        <f t="shared" si="29"/>
        <v>8223.9539999999997</v>
      </c>
      <c r="N115" s="17">
        <f>((M115*10000)*360)+((L115*10000)*837)+((K115*10000)*336)</f>
        <v>35904331878</v>
      </c>
      <c r="O115" s="65">
        <f>N115/N121</f>
        <v>2.3895520548354501E-6</v>
      </c>
      <c r="P115" s="65">
        <f t="shared" si="30"/>
        <v>0.99999807746036662</v>
      </c>
      <c r="Q115" s="33">
        <f t="shared" si="31"/>
        <v>113</v>
      </c>
      <c r="R115" s="8" t="s">
        <v>134</v>
      </c>
      <c r="S115" s="32"/>
    </row>
    <row r="116" spans="1:20" s="35" customFormat="1" x14ac:dyDescent="0.2">
      <c r="A116" s="15" t="s">
        <v>139</v>
      </c>
      <c r="B116" s="20">
        <v>5220</v>
      </c>
      <c r="C116" s="30">
        <v>1</v>
      </c>
      <c r="D116" s="23">
        <f t="shared" si="25"/>
        <v>5220</v>
      </c>
      <c r="E116" s="31">
        <v>9707</v>
      </c>
      <c r="F116" s="19">
        <f t="shared" si="26"/>
        <v>0.53775625837024832</v>
      </c>
      <c r="G116" s="29">
        <f t="shared" si="24"/>
        <v>0.53775625837024832</v>
      </c>
      <c r="H116" s="61">
        <v>0.316</v>
      </c>
      <c r="I116" s="61">
        <v>0.48799999999999999</v>
      </c>
      <c r="J116" s="61">
        <v>8.6699999999999999E-2</v>
      </c>
      <c r="K116" s="20">
        <f>D116*H116</f>
        <v>1649.52</v>
      </c>
      <c r="L116" s="20">
        <f t="shared" si="28"/>
        <v>2547.36</v>
      </c>
      <c r="M116" s="20">
        <f t="shared" si="29"/>
        <v>452.57400000000001</v>
      </c>
      <c r="N116" s="17">
        <f>((M116*10000)*407)+((L116*10000)*837)+((K116*10000)*347)</f>
        <v>28887213780</v>
      </c>
      <c r="O116" s="65">
        <f>N116/N121</f>
        <v>1.9225396334074609E-6</v>
      </c>
      <c r="P116" s="65">
        <f t="shared" si="30"/>
        <v>1</v>
      </c>
      <c r="Q116" s="33">
        <f t="shared" si="31"/>
        <v>114</v>
      </c>
      <c r="R116" s="8" t="s">
        <v>140</v>
      </c>
      <c r="S116" s="32"/>
    </row>
    <row r="117" spans="1:20" x14ac:dyDescent="0.2">
      <c r="A117" s="15"/>
      <c r="B117" s="20"/>
      <c r="C117" s="30"/>
      <c r="D117" s="23"/>
      <c r="E117" s="31"/>
      <c r="F117" s="19"/>
      <c r="G117" s="29"/>
      <c r="H117" s="61"/>
      <c r="I117" s="61"/>
      <c r="J117" s="61"/>
      <c r="K117" s="20"/>
      <c r="L117" s="20"/>
      <c r="M117" s="20"/>
      <c r="N117" s="17"/>
      <c r="O117" s="18"/>
      <c r="P117" s="16"/>
      <c r="Q117" s="33"/>
      <c r="R117" s="8"/>
      <c r="S117" s="32"/>
    </row>
    <row r="118" spans="1:20" x14ac:dyDescent="0.2">
      <c r="O118" s="66"/>
      <c r="P118" s="67"/>
      <c r="Q118" s="68"/>
      <c r="R118" s="69"/>
      <c r="S118" s="70"/>
    </row>
    <row r="119" spans="1:20" s="79" customFormat="1" x14ac:dyDescent="0.2">
      <c r="A119" s="74" t="s">
        <v>52</v>
      </c>
      <c r="B119" s="75" t="s">
        <v>0</v>
      </c>
      <c r="C119" s="45" t="s">
        <v>1</v>
      </c>
      <c r="D119" s="76" t="s">
        <v>2</v>
      </c>
      <c r="E119" s="75" t="s">
        <v>86</v>
      </c>
      <c r="F119" s="74"/>
      <c r="G119" s="46" t="s">
        <v>3</v>
      </c>
      <c r="H119" s="77" t="s">
        <v>4</v>
      </c>
      <c r="I119" s="77" t="s">
        <v>5</v>
      </c>
      <c r="J119" s="77" t="s">
        <v>6</v>
      </c>
      <c r="K119" s="75" t="s">
        <v>4</v>
      </c>
      <c r="L119" s="75" t="s">
        <v>5</v>
      </c>
      <c r="M119" s="75" t="s">
        <v>6</v>
      </c>
      <c r="N119" s="78" t="s">
        <v>7</v>
      </c>
      <c r="O119" s="71" t="s">
        <v>243</v>
      </c>
      <c r="P119" s="72"/>
      <c r="Q119" s="73"/>
      <c r="R119" s="69"/>
      <c r="S119" s="69"/>
      <c r="T119" s="1"/>
    </row>
    <row r="120" spans="1:20" s="79" customFormat="1" x14ac:dyDescent="0.2">
      <c r="A120" s="80" t="s">
        <v>8</v>
      </c>
      <c r="B120" s="81" t="s">
        <v>247</v>
      </c>
      <c r="C120" s="47" t="s">
        <v>9</v>
      </c>
      <c r="D120" s="51" t="s">
        <v>247</v>
      </c>
      <c r="E120" s="81" t="s">
        <v>69</v>
      </c>
      <c r="F120" s="80"/>
      <c r="G120" s="42" t="s">
        <v>68</v>
      </c>
      <c r="H120" s="82" t="s">
        <v>9</v>
      </c>
      <c r="I120" s="82" t="s">
        <v>9</v>
      </c>
      <c r="J120" s="82" t="s">
        <v>9</v>
      </c>
      <c r="K120" s="81" t="s">
        <v>247</v>
      </c>
      <c r="L120" s="81" t="s">
        <v>247</v>
      </c>
      <c r="M120" s="81" t="s">
        <v>247</v>
      </c>
      <c r="N120" s="83" t="s">
        <v>11</v>
      </c>
      <c r="O120" s="84" t="s">
        <v>244</v>
      </c>
      <c r="P120" s="85"/>
      <c r="Q120" s="86"/>
      <c r="R120" s="69"/>
      <c r="S120" s="69"/>
      <c r="T120" s="1"/>
    </row>
    <row r="121" spans="1:20" x14ac:dyDescent="0.2">
      <c r="B121" s="39">
        <f>SUM(B3:B118)</f>
        <v>8629869206</v>
      </c>
      <c r="D121" s="41">
        <f>SUM(D3:D118)</f>
        <v>5775786596.0059996</v>
      </c>
      <c r="E121" s="39">
        <f>SUM(E3:E118)</f>
        <v>1636014764</v>
      </c>
      <c r="F121" s="44"/>
      <c r="I121" s="82" t="s">
        <v>253</v>
      </c>
      <c r="J121" s="49"/>
      <c r="K121" s="39">
        <f>SUM(K3:K118)</f>
        <v>455711827.59242487</v>
      </c>
      <c r="L121" s="39">
        <f>SUM(L3:L118)</f>
        <v>319269281.81121874</v>
      </c>
      <c r="M121" s="39">
        <f>SUM(M3:M118)</f>
        <v>2728604249.9412398</v>
      </c>
      <c r="N121" s="44">
        <f>SUM(N3:N118)</f>
        <v>1.5025549163218564E+16</v>
      </c>
      <c r="O121" s="88">
        <v>8000000000</v>
      </c>
      <c r="P121" s="67"/>
      <c r="Q121" s="68"/>
      <c r="R121" s="69"/>
      <c r="S121" s="70"/>
    </row>
    <row r="122" spans="1:20" x14ac:dyDescent="0.2">
      <c r="F122" s="44"/>
      <c r="I122" s="82" t="s">
        <v>254</v>
      </c>
      <c r="J122" s="93" t="s">
        <v>53</v>
      </c>
      <c r="K122" s="39">
        <f>K127/(336*10000)</f>
        <v>44642857.142857142</v>
      </c>
      <c r="L122" s="39">
        <f>L127/(837*10000)</f>
        <v>35842293.906810038</v>
      </c>
      <c r="M122" s="39">
        <f>M127/(387*10000)</f>
        <v>142118863.0490956</v>
      </c>
      <c r="O122" s="89" t="s">
        <v>245</v>
      </c>
      <c r="P122" s="67"/>
      <c r="Q122" s="68"/>
      <c r="R122" s="69"/>
      <c r="S122" s="70"/>
    </row>
    <row r="123" spans="1:20" x14ac:dyDescent="0.2">
      <c r="B123" s="80" t="s">
        <v>80</v>
      </c>
      <c r="D123" s="90">
        <v>24407916</v>
      </c>
      <c r="E123" s="91">
        <v>71838655</v>
      </c>
      <c r="F123" s="44"/>
      <c r="J123" s="82" t="s">
        <v>255</v>
      </c>
      <c r="K123" s="39">
        <f>K122*8</f>
        <v>357142857.14285713</v>
      </c>
      <c r="L123" s="39">
        <f>L122*8</f>
        <v>286738351.2544803</v>
      </c>
      <c r="M123" s="39">
        <f>M122*8</f>
        <v>1136950904.3927648</v>
      </c>
      <c r="O123" s="88">
        <f>N121/O121</f>
        <v>1878193.6454023204</v>
      </c>
      <c r="P123" s="87"/>
      <c r="Q123" s="68"/>
      <c r="R123" s="69"/>
      <c r="S123" s="70"/>
    </row>
    <row r="124" spans="1:20" x14ac:dyDescent="0.2">
      <c r="B124" s="80" t="s">
        <v>80</v>
      </c>
      <c r="D124" s="51" t="s">
        <v>81</v>
      </c>
      <c r="E124" s="81" t="s">
        <v>82</v>
      </c>
      <c r="J124" s="82" t="s">
        <v>55</v>
      </c>
      <c r="K124" s="39">
        <f>K122*10</f>
        <v>446428571.4285714</v>
      </c>
      <c r="L124" s="39">
        <f>L122*10</f>
        <v>358422939.06810039</v>
      </c>
      <c r="M124" s="39">
        <f>M122*10</f>
        <v>1421188630.4909561</v>
      </c>
      <c r="O124" s="88" t="s">
        <v>246</v>
      </c>
      <c r="P124" s="67"/>
      <c r="Q124" s="68"/>
      <c r="R124" s="69"/>
      <c r="S124" s="70"/>
    </row>
    <row r="125" spans="1:20" x14ac:dyDescent="0.2">
      <c r="B125" s="81"/>
      <c r="D125" s="51"/>
      <c r="E125" s="50">
        <f>D123/E123</f>
        <v>0.33976020291582576</v>
      </c>
      <c r="I125" s="92" t="s">
        <v>256</v>
      </c>
      <c r="K125" s="81" t="s">
        <v>256</v>
      </c>
      <c r="L125" s="81" t="s">
        <v>256</v>
      </c>
      <c r="M125" s="81" t="s">
        <v>256</v>
      </c>
      <c r="O125" s="88">
        <f>N121/1000000</f>
        <v>15025549163.218563</v>
      </c>
      <c r="P125" s="67"/>
      <c r="Q125" s="68"/>
      <c r="R125" s="69"/>
      <c r="S125" s="70"/>
    </row>
    <row r="126" spans="1:20" ht="12" customHeight="1" x14ac:dyDescent="0.2">
      <c r="B126" s="81"/>
      <c r="D126" s="51"/>
      <c r="E126" s="51" t="s">
        <v>83</v>
      </c>
      <c r="I126" s="82" t="s">
        <v>253</v>
      </c>
      <c r="J126" s="48"/>
      <c r="K126" s="39">
        <f>K121*10000*336</f>
        <v>1531191740710547.7</v>
      </c>
      <c r="L126" s="39">
        <f>L121*10000*837</f>
        <v>2672283888759901</v>
      </c>
      <c r="M126" s="39">
        <f>M121*10000*387</f>
        <v>1.0559698447272598E+16</v>
      </c>
      <c r="O126" s="88"/>
      <c r="P126" s="67"/>
      <c r="Q126" s="68"/>
      <c r="R126" s="69"/>
      <c r="S126" s="70"/>
    </row>
    <row r="127" spans="1:20" x14ac:dyDescent="0.2">
      <c r="I127" s="82" t="s">
        <v>254</v>
      </c>
      <c r="J127" s="48" t="s">
        <v>53</v>
      </c>
      <c r="K127" s="39">
        <v>150000000000000</v>
      </c>
      <c r="L127" s="39">
        <v>300000000000000</v>
      </c>
      <c r="M127" s="39">
        <v>550000000000000</v>
      </c>
      <c r="O127" s="88"/>
      <c r="P127" s="67"/>
      <c r="Q127" s="68"/>
      <c r="R127" s="69"/>
      <c r="S127" s="70"/>
    </row>
    <row r="128" spans="1:20" x14ac:dyDescent="0.2">
      <c r="J128" s="48" t="s">
        <v>54</v>
      </c>
      <c r="K128" s="39">
        <f>K127*7</f>
        <v>1050000000000000</v>
      </c>
      <c r="L128" s="39">
        <f>L127*7</f>
        <v>2100000000000000</v>
      </c>
      <c r="M128" s="39">
        <f>M127*7</f>
        <v>3850000000000000</v>
      </c>
      <c r="O128" s="66"/>
      <c r="P128" s="67"/>
      <c r="Q128" s="68"/>
      <c r="R128" s="69"/>
      <c r="S128" s="70"/>
    </row>
    <row r="129" spans="1:19" x14ac:dyDescent="0.2">
      <c r="J129" s="48" t="s">
        <v>55</v>
      </c>
      <c r="K129" s="39">
        <f>K127*10</f>
        <v>1500000000000000</v>
      </c>
      <c r="L129" s="39">
        <f>L127*10</f>
        <v>3000000000000000</v>
      </c>
      <c r="M129" s="39">
        <f>M127*10</f>
        <v>5500000000000000</v>
      </c>
      <c r="O129" s="66"/>
      <c r="P129" s="67"/>
      <c r="Q129" s="68"/>
      <c r="R129" s="69"/>
      <c r="S129" s="70"/>
    </row>
    <row r="130" spans="1:19" s="35" customFormat="1" x14ac:dyDescent="0.2">
      <c r="A130" s="34" t="s">
        <v>79</v>
      </c>
      <c r="B130" s="52"/>
      <c r="C130" s="53"/>
      <c r="D130" s="54"/>
      <c r="E130" s="52"/>
      <c r="F130" s="34"/>
      <c r="G130" s="55"/>
      <c r="H130" s="56"/>
      <c r="I130" s="56"/>
      <c r="J130" s="56"/>
      <c r="K130" s="52"/>
      <c r="L130" s="52"/>
      <c r="M130" s="52"/>
      <c r="N130" s="57"/>
      <c r="O130" s="58"/>
      <c r="P130" s="59"/>
      <c r="Q130" s="34"/>
      <c r="R130" s="1"/>
      <c r="S130" s="60"/>
    </row>
    <row r="131" spans="1:19" s="35" customFormat="1" x14ac:dyDescent="0.2">
      <c r="A131" s="32" t="s">
        <v>100</v>
      </c>
      <c r="B131" s="52"/>
      <c r="C131" s="53"/>
      <c r="D131" s="54"/>
      <c r="E131" s="52"/>
      <c r="F131" s="34"/>
      <c r="G131" s="55"/>
      <c r="H131" s="56"/>
      <c r="I131" s="56"/>
      <c r="J131" s="56"/>
      <c r="K131" s="52"/>
      <c r="L131" s="52"/>
      <c r="M131" s="52"/>
      <c r="N131" s="57"/>
      <c r="O131" s="58"/>
      <c r="P131" s="59"/>
      <c r="Q131" s="34"/>
      <c r="R131" s="1"/>
      <c r="S131" s="60"/>
    </row>
    <row r="132" spans="1:19" s="35" customFormat="1" x14ac:dyDescent="0.2">
      <c r="A132" s="32" t="s">
        <v>126</v>
      </c>
      <c r="B132" s="52"/>
      <c r="C132" s="53"/>
      <c r="D132" s="54"/>
      <c r="E132" s="52"/>
      <c r="F132" s="34"/>
      <c r="G132" s="55"/>
      <c r="H132" s="56"/>
      <c r="I132" s="56"/>
      <c r="J132" s="56"/>
      <c r="K132" s="52"/>
      <c r="L132" s="52"/>
      <c r="M132" s="52"/>
      <c r="N132" s="57"/>
      <c r="O132" s="58"/>
      <c r="P132" s="59"/>
      <c r="Q132" s="34"/>
      <c r="R132" s="1"/>
      <c r="S132" s="60"/>
    </row>
    <row r="133" spans="1:19" s="35" customFormat="1" x14ac:dyDescent="0.2">
      <c r="A133" s="32" t="s">
        <v>125</v>
      </c>
      <c r="B133" s="52"/>
      <c r="C133" s="53"/>
      <c r="D133" s="54"/>
      <c r="E133" s="52"/>
      <c r="F133" s="34"/>
      <c r="G133" s="55"/>
      <c r="H133" s="56"/>
      <c r="I133" s="56"/>
      <c r="J133" s="56"/>
      <c r="K133" s="52"/>
      <c r="L133" s="52"/>
      <c r="M133" s="52"/>
      <c r="N133" s="57"/>
      <c r="O133" s="58"/>
      <c r="P133" s="59"/>
      <c r="Q133" s="34"/>
      <c r="R133" s="1"/>
      <c r="S133" s="60"/>
    </row>
    <row r="134" spans="1:19" s="35" customFormat="1" x14ac:dyDescent="0.2">
      <c r="A134" s="32" t="s">
        <v>87</v>
      </c>
      <c r="B134" s="52"/>
      <c r="C134" s="53"/>
      <c r="D134" s="54"/>
      <c r="E134" s="52"/>
      <c r="F134" s="34"/>
      <c r="G134" s="55"/>
      <c r="H134" s="56"/>
      <c r="I134" s="56"/>
      <c r="J134" s="56"/>
      <c r="K134" s="52"/>
      <c r="L134" s="52"/>
      <c r="M134" s="52"/>
      <c r="N134" s="57"/>
      <c r="O134" s="58"/>
      <c r="P134" s="59"/>
      <c r="Q134" s="34"/>
      <c r="R134" s="1"/>
      <c r="S134" s="60"/>
    </row>
    <row r="135" spans="1:19" s="35" customFormat="1" x14ac:dyDescent="0.2">
      <c r="A135" s="32" t="s">
        <v>91</v>
      </c>
      <c r="B135" s="52"/>
      <c r="C135" s="53"/>
      <c r="D135" s="54"/>
      <c r="E135" s="52"/>
      <c r="F135" s="34"/>
      <c r="G135" s="55"/>
      <c r="H135" s="56"/>
      <c r="I135" s="56"/>
      <c r="J135" s="56"/>
      <c r="K135" s="52"/>
      <c r="L135" s="52"/>
      <c r="M135" s="52"/>
      <c r="N135" s="57"/>
      <c r="O135" s="58"/>
      <c r="P135" s="59"/>
      <c r="Q135" s="34"/>
      <c r="R135" s="1"/>
      <c r="S135" s="60"/>
    </row>
    <row r="136" spans="1:19" s="35" customFormat="1" x14ac:dyDescent="0.2">
      <c r="A136" s="20" t="s">
        <v>242</v>
      </c>
      <c r="B136" s="52"/>
      <c r="C136" s="53"/>
      <c r="D136" s="54"/>
      <c r="E136" s="52"/>
      <c r="F136" s="34"/>
      <c r="G136" s="55"/>
      <c r="H136" s="56"/>
      <c r="I136" s="56"/>
      <c r="J136" s="56"/>
      <c r="K136" s="52"/>
      <c r="L136" s="52"/>
      <c r="M136" s="52"/>
      <c r="N136" s="57"/>
      <c r="O136" s="58"/>
      <c r="P136" s="59"/>
      <c r="Q136" s="34"/>
      <c r="R136" s="1"/>
      <c r="S136" s="60"/>
    </row>
    <row r="137" spans="1:19" s="35" customFormat="1" x14ac:dyDescent="0.2">
      <c r="A137" s="20" t="s">
        <v>251</v>
      </c>
      <c r="B137" s="52"/>
      <c r="C137" s="53"/>
      <c r="D137" s="54"/>
      <c r="E137" s="52"/>
      <c r="F137" s="34"/>
      <c r="G137" s="55"/>
      <c r="H137" s="56"/>
      <c r="I137" s="56"/>
      <c r="J137" s="56"/>
      <c r="K137" s="52"/>
      <c r="L137" s="52"/>
      <c r="M137" s="52"/>
      <c r="N137" s="57"/>
      <c r="O137" s="58"/>
      <c r="P137" s="59"/>
      <c r="Q137" s="34"/>
      <c r="R137" s="1"/>
      <c r="S137" s="60"/>
    </row>
    <row r="138" spans="1:19" s="35" customFormat="1" x14ac:dyDescent="0.2">
      <c r="A138" s="20" t="s">
        <v>252</v>
      </c>
      <c r="B138" s="52"/>
      <c r="C138" s="53"/>
      <c r="D138" s="54"/>
      <c r="E138" s="52"/>
      <c r="F138" s="34"/>
      <c r="G138" s="55"/>
      <c r="H138" s="56"/>
      <c r="I138" s="56"/>
      <c r="J138" s="56"/>
      <c r="K138" s="52"/>
      <c r="L138" s="52"/>
      <c r="M138" s="52"/>
      <c r="N138" s="57"/>
      <c r="O138" s="58"/>
      <c r="P138" s="59"/>
      <c r="Q138" s="34"/>
      <c r="R138" s="1"/>
      <c r="S138" s="60"/>
    </row>
    <row r="139" spans="1:19" s="35" customFormat="1" x14ac:dyDescent="0.2">
      <c r="A139" s="20"/>
      <c r="B139" s="52"/>
      <c r="C139" s="53"/>
      <c r="D139" s="54"/>
      <c r="E139" s="52"/>
      <c r="F139" s="34"/>
      <c r="G139" s="55"/>
      <c r="H139" s="56"/>
      <c r="I139" s="56"/>
      <c r="J139" s="56"/>
      <c r="K139" s="52"/>
      <c r="L139" s="52"/>
      <c r="M139" s="52"/>
      <c r="N139" s="57"/>
      <c r="O139" s="58"/>
      <c r="P139" s="59"/>
      <c r="Q139" s="34"/>
      <c r="R139" s="1"/>
      <c r="S139" s="60"/>
    </row>
    <row r="140" spans="1:19" s="35" customFormat="1" x14ac:dyDescent="0.2">
      <c r="A140" s="34" t="s">
        <v>101</v>
      </c>
      <c r="B140" s="52"/>
      <c r="C140" s="53"/>
      <c r="D140" s="54"/>
      <c r="E140" s="52"/>
      <c r="F140" s="34"/>
      <c r="G140" s="55"/>
      <c r="H140" s="56"/>
      <c r="I140" s="56"/>
      <c r="J140" s="56"/>
      <c r="K140" s="52"/>
      <c r="L140" s="52"/>
      <c r="M140" s="52"/>
      <c r="N140" s="57"/>
      <c r="O140" s="58"/>
      <c r="P140" s="59"/>
      <c r="Q140" s="34"/>
      <c r="R140" s="1"/>
      <c r="S140" s="60"/>
    </row>
    <row r="141" spans="1:19" s="35" customFormat="1" x14ac:dyDescent="0.2">
      <c r="A141" s="34" t="s">
        <v>104</v>
      </c>
      <c r="B141" s="52"/>
      <c r="C141" s="53"/>
      <c r="D141" s="54"/>
      <c r="E141" s="52"/>
      <c r="F141" s="34"/>
      <c r="G141" s="55"/>
      <c r="H141" s="56"/>
      <c r="I141" s="56"/>
      <c r="J141" s="56"/>
      <c r="K141" s="52"/>
      <c r="L141" s="52"/>
      <c r="M141" s="52"/>
      <c r="N141" s="57"/>
      <c r="O141" s="58"/>
      <c r="P141" s="59"/>
      <c r="Q141" s="34"/>
      <c r="R141" s="1"/>
      <c r="S141" s="60"/>
    </row>
    <row r="142" spans="1:19" s="35" customFormat="1" x14ac:dyDescent="0.2">
      <c r="A142" s="34" t="s">
        <v>200</v>
      </c>
      <c r="B142" s="52"/>
      <c r="C142" s="53"/>
      <c r="D142" s="54"/>
      <c r="E142" s="52"/>
      <c r="F142" s="34"/>
      <c r="G142" s="55"/>
      <c r="H142" s="56"/>
      <c r="I142" s="56"/>
      <c r="J142" s="56"/>
      <c r="K142" s="52"/>
      <c r="L142" s="52"/>
      <c r="M142" s="52"/>
      <c r="N142" s="57"/>
      <c r="O142" s="58"/>
      <c r="P142" s="59"/>
      <c r="Q142" s="34"/>
      <c r="R142" s="1"/>
      <c r="S142" s="60"/>
    </row>
    <row r="143" spans="1:19" s="35" customFormat="1" x14ac:dyDescent="0.2">
      <c r="A143" s="34" t="s">
        <v>107</v>
      </c>
      <c r="B143" s="52"/>
      <c r="C143" s="53"/>
      <c r="D143" s="54"/>
      <c r="E143" s="52"/>
      <c r="F143" s="34"/>
      <c r="G143" s="55"/>
      <c r="H143" s="56"/>
      <c r="I143" s="56"/>
      <c r="J143" s="56"/>
      <c r="K143" s="52"/>
      <c r="L143" s="52"/>
      <c r="M143" s="52"/>
      <c r="N143" s="57"/>
      <c r="O143" s="58"/>
      <c r="P143" s="59"/>
      <c r="Q143" s="34"/>
      <c r="R143" s="1"/>
      <c r="S143" s="60"/>
    </row>
    <row r="144" spans="1:19" s="35" customFormat="1" x14ac:dyDescent="0.2">
      <c r="A144" s="34" t="s">
        <v>206</v>
      </c>
      <c r="B144" s="52"/>
      <c r="C144" s="53"/>
      <c r="D144" s="54"/>
      <c r="E144" s="52"/>
      <c r="F144" s="34"/>
      <c r="G144" s="55"/>
      <c r="H144" s="56"/>
      <c r="I144" s="56"/>
      <c r="J144" s="56"/>
      <c r="K144" s="52"/>
      <c r="L144" s="52"/>
      <c r="M144" s="52"/>
      <c r="N144" s="57"/>
      <c r="O144" s="58"/>
      <c r="P144" s="59"/>
      <c r="Q144" s="34"/>
      <c r="R144" s="1"/>
      <c r="S144" s="60"/>
    </row>
    <row r="145" spans="1:19" s="35" customFormat="1" x14ac:dyDescent="0.2">
      <c r="A145" s="34" t="s">
        <v>111</v>
      </c>
      <c r="B145" s="52"/>
      <c r="C145" s="53"/>
      <c r="D145" s="54"/>
      <c r="E145" s="52"/>
      <c r="F145" s="34"/>
      <c r="G145" s="55"/>
      <c r="H145" s="56"/>
      <c r="I145" s="56"/>
      <c r="J145" s="56"/>
      <c r="K145" s="52"/>
      <c r="L145" s="52"/>
      <c r="M145" s="52"/>
      <c r="N145" s="57"/>
      <c r="O145" s="58"/>
      <c r="P145" s="59"/>
      <c r="Q145" s="34"/>
      <c r="R145" s="1"/>
      <c r="S145" s="60"/>
    </row>
    <row r="146" spans="1:19" s="35" customFormat="1" x14ac:dyDescent="0.2">
      <c r="A146" s="34" t="s">
        <v>117</v>
      </c>
      <c r="B146" s="52"/>
      <c r="C146" s="53"/>
      <c r="D146" s="54"/>
      <c r="E146" s="52"/>
      <c r="F146" s="34"/>
      <c r="G146" s="55"/>
      <c r="H146" s="56"/>
      <c r="I146" s="56"/>
      <c r="J146" s="56"/>
      <c r="K146" s="52"/>
      <c r="L146" s="52"/>
      <c r="M146" s="52"/>
      <c r="N146" s="57"/>
      <c r="O146" s="58"/>
      <c r="P146" s="59"/>
      <c r="Q146" s="34"/>
      <c r="R146" s="1"/>
      <c r="S146" s="60"/>
    </row>
    <row r="147" spans="1:19" s="35" customFormat="1" x14ac:dyDescent="0.2">
      <c r="A147" s="32" t="s">
        <v>177</v>
      </c>
      <c r="B147" s="52"/>
      <c r="C147" s="53"/>
      <c r="D147" s="54"/>
      <c r="E147" s="52"/>
      <c r="F147" s="34"/>
      <c r="G147" s="55"/>
      <c r="H147" s="56"/>
      <c r="I147" s="56"/>
      <c r="J147" s="56"/>
      <c r="K147" s="52"/>
      <c r="L147" s="52"/>
      <c r="M147" s="52"/>
      <c r="N147" s="57"/>
      <c r="O147" s="58"/>
      <c r="P147" s="59"/>
      <c r="Q147" s="34"/>
      <c r="R147" s="1"/>
      <c r="S147" s="60"/>
    </row>
    <row r="148" spans="1:19" s="35" customFormat="1" x14ac:dyDescent="0.2">
      <c r="A148" s="34" t="s">
        <v>88</v>
      </c>
      <c r="B148" s="52"/>
      <c r="C148" s="53"/>
      <c r="D148" s="54"/>
      <c r="E148" s="52"/>
      <c r="F148" s="34"/>
      <c r="G148" s="55"/>
      <c r="H148" s="56"/>
      <c r="I148" s="56"/>
      <c r="J148" s="56"/>
      <c r="K148" s="52"/>
      <c r="L148" s="52"/>
      <c r="M148" s="52"/>
      <c r="N148" s="57"/>
      <c r="O148" s="58"/>
      <c r="P148" s="59"/>
      <c r="Q148" s="34"/>
      <c r="R148" s="1"/>
      <c r="S148" s="60"/>
    </row>
    <row r="149" spans="1:19" s="35" customFormat="1" x14ac:dyDescent="0.2">
      <c r="A149" s="36" t="s">
        <v>78</v>
      </c>
      <c r="B149" s="52"/>
      <c r="C149" s="53"/>
      <c r="D149" s="54"/>
      <c r="E149" s="52"/>
      <c r="F149" s="34"/>
      <c r="G149" s="55"/>
      <c r="H149" s="56"/>
      <c r="I149" s="56"/>
      <c r="J149" s="56"/>
      <c r="K149" s="52"/>
      <c r="L149" s="52"/>
      <c r="M149" s="52"/>
      <c r="N149" s="57"/>
      <c r="O149" s="58"/>
      <c r="P149" s="59"/>
      <c r="Q149" s="34"/>
      <c r="R149" s="1"/>
      <c r="S149" s="60"/>
    </row>
    <row r="150" spans="1:19" s="35" customFormat="1" x14ac:dyDescent="0.2">
      <c r="A150" s="34" t="s">
        <v>150</v>
      </c>
      <c r="B150" s="52"/>
      <c r="C150" s="53"/>
      <c r="D150" s="54"/>
      <c r="E150" s="52"/>
      <c r="F150" s="34"/>
      <c r="G150" s="55"/>
      <c r="H150" s="56"/>
      <c r="I150" s="56"/>
      <c r="J150" s="56"/>
      <c r="K150" s="52"/>
      <c r="L150" s="52"/>
      <c r="M150" s="52"/>
      <c r="N150" s="57"/>
      <c r="O150" s="58"/>
      <c r="P150" s="59"/>
      <c r="Q150" s="34"/>
      <c r="R150" s="1"/>
      <c r="S150" s="60"/>
    </row>
    <row r="151" spans="1:19" s="35" customFormat="1" x14ac:dyDescent="0.2">
      <c r="A151" s="34" t="s">
        <v>210</v>
      </c>
      <c r="B151" s="52"/>
      <c r="C151" s="53"/>
      <c r="D151" s="54"/>
      <c r="E151" s="52"/>
      <c r="F151" s="34"/>
      <c r="G151" s="55"/>
      <c r="H151" s="56"/>
      <c r="I151" s="56"/>
      <c r="J151" s="56"/>
      <c r="K151" s="52"/>
      <c r="L151" s="52"/>
      <c r="M151" s="52"/>
      <c r="N151" s="57"/>
      <c r="O151" s="58"/>
      <c r="P151" s="59"/>
      <c r="Q151" s="34"/>
      <c r="R151" s="1"/>
      <c r="S151" s="60"/>
    </row>
    <row r="152" spans="1:19" s="35" customFormat="1" x14ac:dyDescent="0.2">
      <c r="A152" s="34" t="s">
        <v>133</v>
      </c>
      <c r="B152" s="52"/>
      <c r="C152" s="53"/>
      <c r="D152" s="54"/>
      <c r="E152" s="52"/>
      <c r="F152" s="34"/>
      <c r="G152" s="55"/>
      <c r="H152" s="56"/>
      <c r="I152" s="56"/>
      <c r="J152" s="56"/>
      <c r="K152" s="52"/>
      <c r="L152" s="52"/>
      <c r="M152" s="52"/>
      <c r="N152" s="57"/>
      <c r="O152" s="58"/>
      <c r="P152" s="59"/>
      <c r="Q152" s="34"/>
      <c r="R152" s="1"/>
      <c r="S152" s="60"/>
    </row>
    <row r="153" spans="1:19" s="35" customFormat="1" x14ac:dyDescent="0.2">
      <c r="A153" s="34" t="s">
        <v>135</v>
      </c>
      <c r="B153" s="52"/>
      <c r="C153" s="53"/>
      <c r="D153" s="54"/>
      <c r="E153" s="52"/>
      <c r="F153" s="34"/>
      <c r="G153" s="55"/>
      <c r="H153" s="56"/>
      <c r="I153" s="56"/>
      <c r="J153" s="56"/>
      <c r="K153" s="52"/>
      <c r="L153" s="52"/>
      <c r="M153" s="52"/>
      <c r="N153" s="57"/>
      <c r="O153" s="58"/>
      <c r="P153" s="59"/>
      <c r="Q153" s="34"/>
      <c r="R153" s="1"/>
      <c r="S153" s="60"/>
    </row>
    <row r="154" spans="1:19" s="35" customFormat="1" x14ac:dyDescent="0.2">
      <c r="A154" s="36" t="s">
        <v>76</v>
      </c>
      <c r="B154" s="52"/>
      <c r="C154" s="53"/>
      <c r="D154" s="54"/>
      <c r="E154" s="52"/>
      <c r="F154" s="34"/>
      <c r="G154" s="55"/>
      <c r="H154" s="56"/>
      <c r="I154" s="56"/>
      <c r="J154" s="56"/>
      <c r="K154" s="52"/>
      <c r="L154" s="52"/>
      <c r="M154" s="52"/>
      <c r="N154" s="57"/>
      <c r="O154" s="58"/>
      <c r="P154" s="59"/>
      <c r="Q154" s="34"/>
      <c r="R154" s="1"/>
      <c r="S154" s="60"/>
    </row>
    <row r="155" spans="1:19" s="35" customFormat="1" x14ac:dyDescent="0.2">
      <c r="A155" s="34" t="s">
        <v>146</v>
      </c>
      <c r="B155" s="52"/>
      <c r="C155" s="53"/>
      <c r="D155" s="54"/>
      <c r="E155" s="52"/>
      <c r="F155" s="34"/>
      <c r="G155" s="55"/>
      <c r="H155" s="56"/>
      <c r="I155" s="56"/>
      <c r="J155" s="56"/>
      <c r="K155" s="52"/>
      <c r="L155" s="52"/>
      <c r="M155" s="52"/>
      <c r="N155" s="57"/>
      <c r="O155" s="58"/>
      <c r="P155" s="59"/>
      <c r="Q155" s="34"/>
      <c r="R155" s="1"/>
      <c r="S155" s="60"/>
    </row>
    <row r="156" spans="1:19" s="35" customFormat="1" x14ac:dyDescent="0.2">
      <c r="A156" s="34" t="s">
        <v>148</v>
      </c>
      <c r="B156" s="52"/>
      <c r="C156" s="53"/>
      <c r="D156" s="54"/>
      <c r="E156" s="52"/>
      <c r="F156" s="34"/>
      <c r="G156" s="55"/>
      <c r="H156" s="56"/>
      <c r="I156" s="56"/>
      <c r="J156" s="56"/>
      <c r="K156" s="52"/>
      <c r="L156" s="52"/>
      <c r="M156" s="52"/>
      <c r="N156" s="57"/>
      <c r="O156" s="58"/>
      <c r="P156" s="59"/>
      <c r="Q156" s="34"/>
      <c r="R156" s="1"/>
      <c r="S156" s="60"/>
    </row>
    <row r="157" spans="1:19" s="35" customFormat="1" x14ac:dyDescent="0.2">
      <c r="A157" s="36" t="s">
        <v>73</v>
      </c>
      <c r="B157" s="52"/>
      <c r="C157" s="53"/>
      <c r="D157" s="54"/>
      <c r="E157" s="52"/>
      <c r="F157" s="34"/>
      <c r="G157" s="55"/>
      <c r="H157" s="56"/>
      <c r="I157" s="56"/>
      <c r="J157" s="56"/>
      <c r="K157" s="52"/>
      <c r="L157" s="52"/>
      <c r="M157" s="52"/>
      <c r="N157" s="57"/>
      <c r="O157" s="58"/>
      <c r="P157" s="59"/>
      <c r="Q157" s="34"/>
      <c r="R157" s="1"/>
      <c r="S157" s="60"/>
    </row>
    <row r="158" spans="1:19" s="35" customFormat="1" x14ac:dyDescent="0.2">
      <c r="A158" s="34" t="s">
        <v>151</v>
      </c>
      <c r="B158" s="52"/>
      <c r="C158" s="53"/>
      <c r="D158" s="54"/>
      <c r="E158" s="52"/>
      <c r="F158" s="34"/>
      <c r="G158" s="55"/>
      <c r="H158" s="56"/>
      <c r="I158" s="56"/>
      <c r="J158" s="56"/>
      <c r="K158" s="52"/>
      <c r="L158" s="52"/>
      <c r="M158" s="52"/>
      <c r="N158" s="57"/>
      <c r="O158" s="58"/>
      <c r="P158" s="59"/>
      <c r="Q158" s="34"/>
      <c r="R158" s="1"/>
      <c r="S158" s="60"/>
    </row>
    <row r="159" spans="1:19" s="35" customFormat="1" x14ac:dyDescent="0.2">
      <c r="A159" s="32" t="s">
        <v>77</v>
      </c>
      <c r="B159" s="52"/>
      <c r="C159" s="53"/>
      <c r="D159" s="54"/>
      <c r="E159" s="52"/>
      <c r="F159" s="34"/>
      <c r="G159" s="55"/>
      <c r="H159" s="56"/>
      <c r="I159" s="56"/>
      <c r="J159" s="56"/>
      <c r="K159" s="52"/>
      <c r="L159" s="52"/>
      <c r="M159" s="52"/>
      <c r="N159" s="57"/>
      <c r="O159" s="58"/>
      <c r="P159" s="59"/>
      <c r="Q159" s="34"/>
      <c r="R159" s="1"/>
      <c r="S159" s="60"/>
    </row>
    <row r="160" spans="1:19" s="35" customFormat="1" x14ac:dyDescent="0.2">
      <c r="A160" s="34" t="s">
        <v>157</v>
      </c>
      <c r="B160" s="52"/>
      <c r="C160" s="53"/>
      <c r="D160" s="54"/>
      <c r="E160" s="52"/>
      <c r="F160" s="34"/>
      <c r="G160" s="55"/>
      <c r="H160" s="56"/>
      <c r="I160" s="56"/>
      <c r="J160" s="56"/>
      <c r="K160" s="52"/>
      <c r="L160" s="52"/>
      <c r="M160" s="52"/>
      <c r="N160" s="57"/>
      <c r="O160" s="58"/>
      <c r="P160" s="59"/>
      <c r="Q160" s="34"/>
      <c r="R160" s="1"/>
      <c r="S160" s="60"/>
    </row>
    <row r="161" spans="1:19" s="35" customFormat="1" x14ac:dyDescent="0.2">
      <c r="A161" s="34" t="s">
        <v>92</v>
      </c>
      <c r="B161" s="52"/>
      <c r="C161" s="53"/>
      <c r="D161" s="54"/>
      <c r="E161" s="52"/>
      <c r="F161" s="34"/>
      <c r="G161" s="55"/>
      <c r="H161" s="56"/>
      <c r="I161" s="56"/>
      <c r="J161" s="56"/>
      <c r="K161" s="52"/>
      <c r="L161" s="52"/>
      <c r="M161" s="52"/>
      <c r="N161" s="57"/>
      <c r="O161" s="58"/>
      <c r="P161" s="59"/>
      <c r="Q161" s="34"/>
      <c r="R161" s="1"/>
      <c r="S161" s="60"/>
    </row>
    <row r="162" spans="1:19" s="35" customFormat="1" x14ac:dyDescent="0.2">
      <c r="A162" s="34" t="s">
        <v>257</v>
      </c>
      <c r="B162" s="52"/>
      <c r="C162" s="53"/>
      <c r="D162" s="54"/>
      <c r="E162" s="52"/>
      <c r="F162" s="34"/>
      <c r="G162" s="55"/>
      <c r="H162" s="56"/>
      <c r="I162" s="56"/>
      <c r="J162" s="56"/>
      <c r="K162" s="52"/>
      <c r="L162" s="52"/>
      <c r="M162" s="52"/>
      <c r="N162" s="57"/>
      <c r="O162" s="58"/>
      <c r="P162" s="59"/>
      <c r="Q162" s="34"/>
      <c r="R162" s="1"/>
      <c r="S162" s="60"/>
    </row>
    <row r="163" spans="1:19" s="35" customFormat="1" x14ac:dyDescent="0.2">
      <c r="A163" s="34" t="s">
        <v>258</v>
      </c>
      <c r="B163" s="52"/>
      <c r="C163" s="53"/>
      <c r="D163" s="54"/>
      <c r="E163" s="52"/>
      <c r="F163" s="34"/>
      <c r="G163" s="55"/>
      <c r="H163" s="56"/>
      <c r="I163" s="56"/>
      <c r="J163" s="56"/>
      <c r="K163" s="52"/>
      <c r="L163" s="52"/>
      <c r="M163" s="52"/>
      <c r="N163" s="57"/>
      <c r="O163" s="58"/>
      <c r="P163" s="59"/>
      <c r="Q163" s="34"/>
      <c r="R163" s="1"/>
      <c r="S163" s="60"/>
    </row>
    <row r="164" spans="1:19" s="35" customFormat="1" x14ac:dyDescent="0.2">
      <c r="A164" s="34" t="s">
        <v>214</v>
      </c>
      <c r="B164" s="52"/>
      <c r="C164" s="53"/>
      <c r="D164" s="54"/>
      <c r="E164" s="52"/>
      <c r="F164" s="34"/>
      <c r="G164" s="55"/>
      <c r="H164" s="56"/>
      <c r="I164" s="56"/>
      <c r="J164" s="56"/>
      <c r="K164" s="52"/>
      <c r="L164" s="52"/>
      <c r="M164" s="52"/>
      <c r="N164" s="57"/>
      <c r="O164" s="58"/>
      <c r="P164" s="59"/>
      <c r="Q164" s="34"/>
      <c r="R164" s="1"/>
      <c r="S164" s="60"/>
    </row>
    <row r="165" spans="1:19" s="35" customFormat="1" x14ac:dyDescent="0.2">
      <c r="A165" s="34" t="s">
        <v>217</v>
      </c>
      <c r="B165" s="52"/>
      <c r="C165" s="53"/>
      <c r="D165" s="54"/>
      <c r="E165" s="52"/>
      <c r="F165" s="34"/>
      <c r="G165" s="55"/>
      <c r="H165" s="56"/>
      <c r="I165" s="56"/>
      <c r="J165" s="56"/>
      <c r="K165" s="52"/>
      <c r="L165" s="52"/>
      <c r="M165" s="52"/>
      <c r="N165" s="57"/>
      <c r="O165" s="58"/>
      <c r="P165" s="59"/>
      <c r="Q165" s="34"/>
      <c r="R165" s="1"/>
      <c r="S165" s="60"/>
    </row>
    <row r="166" spans="1:19" s="35" customFormat="1" x14ac:dyDescent="0.2">
      <c r="A166" s="32" t="s">
        <v>178</v>
      </c>
      <c r="B166" s="52"/>
      <c r="C166" s="53"/>
      <c r="D166" s="54"/>
      <c r="E166" s="52"/>
      <c r="F166" s="34"/>
      <c r="G166" s="55"/>
      <c r="H166" s="56"/>
      <c r="I166" s="56"/>
      <c r="J166" s="56"/>
      <c r="K166" s="52"/>
      <c r="L166" s="52"/>
      <c r="M166" s="52"/>
      <c r="N166" s="57"/>
      <c r="O166" s="58"/>
      <c r="P166" s="59"/>
      <c r="Q166" s="34"/>
      <c r="R166" s="1"/>
      <c r="S166" s="60"/>
    </row>
    <row r="167" spans="1:19" s="35" customFormat="1" x14ac:dyDescent="0.2">
      <c r="A167" s="32" t="s">
        <v>176</v>
      </c>
      <c r="B167" s="52"/>
      <c r="C167" s="53"/>
      <c r="D167" s="54"/>
      <c r="E167" s="52"/>
      <c r="F167" s="34"/>
      <c r="G167" s="55"/>
      <c r="H167" s="56"/>
      <c r="I167" s="56"/>
      <c r="J167" s="56"/>
      <c r="K167" s="52"/>
      <c r="L167" s="52"/>
      <c r="M167" s="52"/>
      <c r="N167" s="57"/>
      <c r="O167" s="58"/>
      <c r="P167" s="59"/>
      <c r="Q167" s="34"/>
      <c r="R167" s="1"/>
      <c r="S167" s="60"/>
    </row>
    <row r="168" spans="1:19" s="35" customFormat="1" x14ac:dyDescent="0.2">
      <c r="A168" s="32" t="s">
        <v>227</v>
      </c>
      <c r="B168" s="52"/>
      <c r="C168" s="53"/>
      <c r="D168" s="54"/>
      <c r="E168" s="52"/>
      <c r="F168" s="34"/>
      <c r="G168" s="55"/>
      <c r="H168" s="56"/>
      <c r="I168" s="56"/>
      <c r="J168" s="56"/>
      <c r="K168" s="52"/>
      <c r="L168" s="52"/>
      <c r="M168" s="52"/>
      <c r="N168" s="57"/>
      <c r="O168" s="58"/>
      <c r="P168" s="59"/>
      <c r="Q168" s="34"/>
      <c r="R168" s="1"/>
      <c r="S168" s="60"/>
    </row>
    <row r="169" spans="1:19" s="35" customFormat="1" x14ac:dyDescent="0.2">
      <c r="A169" s="34" t="s">
        <v>75</v>
      </c>
      <c r="B169" s="52"/>
      <c r="C169" s="53"/>
      <c r="D169" s="54"/>
      <c r="E169" s="52"/>
      <c r="F169" s="34"/>
      <c r="G169" s="55"/>
      <c r="H169" s="56"/>
      <c r="I169" s="56"/>
      <c r="J169" s="56"/>
      <c r="K169" s="52"/>
      <c r="L169" s="52"/>
      <c r="M169" s="52"/>
      <c r="N169" s="57"/>
      <c r="O169" s="58"/>
      <c r="P169" s="59"/>
      <c r="Q169" s="34"/>
      <c r="R169" s="1"/>
      <c r="S169" s="60"/>
    </row>
    <row r="170" spans="1:19" s="35" customFormat="1" x14ac:dyDescent="0.2">
      <c r="A170" s="34" t="s">
        <v>85</v>
      </c>
      <c r="B170" s="52"/>
      <c r="C170" s="53"/>
      <c r="D170" s="54"/>
      <c r="E170" s="52"/>
      <c r="F170" s="34"/>
      <c r="G170" s="55"/>
      <c r="H170" s="56"/>
      <c r="I170" s="56"/>
      <c r="J170" s="56"/>
      <c r="K170" s="52"/>
      <c r="L170" s="52"/>
      <c r="M170" s="52"/>
      <c r="N170" s="57"/>
      <c r="O170" s="58"/>
      <c r="P170" s="59"/>
      <c r="Q170" s="34"/>
      <c r="R170" s="1"/>
      <c r="S170" s="60"/>
    </row>
    <row r="171" spans="1:19" s="35" customFormat="1" x14ac:dyDescent="0.2">
      <c r="A171" s="34" t="s">
        <v>84</v>
      </c>
      <c r="B171" s="52"/>
      <c r="C171" s="53"/>
      <c r="D171" s="54"/>
      <c r="E171" s="52"/>
      <c r="F171" s="34"/>
      <c r="G171" s="55"/>
      <c r="H171" s="56"/>
      <c r="I171" s="56"/>
      <c r="J171" s="56"/>
      <c r="K171" s="52"/>
      <c r="L171" s="52"/>
      <c r="M171" s="52"/>
      <c r="N171" s="57"/>
      <c r="O171" s="58"/>
      <c r="P171" s="59"/>
      <c r="Q171" s="34"/>
      <c r="R171" s="1"/>
      <c r="S171" s="60"/>
    </row>
    <row r="172" spans="1:19" s="35" customFormat="1" x14ac:dyDescent="0.2">
      <c r="A172" s="34" t="s">
        <v>238</v>
      </c>
      <c r="B172" s="52"/>
      <c r="C172" s="53"/>
      <c r="D172" s="54"/>
      <c r="E172" s="52"/>
      <c r="F172" s="34"/>
      <c r="G172" s="55"/>
      <c r="H172" s="56"/>
      <c r="I172" s="56"/>
      <c r="J172" s="56"/>
      <c r="K172" s="52"/>
      <c r="L172" s="52"/>
      <c r="M172" s="52"/>
      <c r="N172" s="57"/>
      <c r="O172" s="58"/>
      <c r="P172" s="59"/>
      <c r="Q172" s="34"/>
      <c r="R172" s="1"/>
      <c r="S172" s="60"/>
    </row>
    <row r="173" spans="1:19" s="35" customFormat="1" x14ac:dyDescent="0.2">
      <c r="A173" s="32" t="s">
        <v>74</v>
      </c>
      <c r="B173" s="52"/>
      <c r="C173" s="53"/>
      <c r="D173" s="54"/>
      <c r="E173" s="52"/>
      <c r="F173" s="34"/>
      <c r="G173" s="55"/>
      <c r="H173" s="56"/>
      <c r="I173" s="56"/>
      <c r="J173" s="56"/>
      <c r="K173" s="52"/>
      <c r="L173" s="52"/>
      <c r="M173" s="52"/>
      <c r="N173" s="57"/>
      <c r="O173" s="58"/>
      <c r="P173" s="59"/>
      <c r="Q173" s="34"/>
      <c r="R173" s="1"/>
      <c r="S173" s="60"/>
    </row>
    <row r="174" spans="1:19" s="35" customFormat="1" x14ac:dyDescent="0.2">
      <c r="A174" s="34"/>
      <c r="B174" s="52"/>
      <c r="C174" s="53"/>
      <c r="D174" s="54"/>
      <c r="E174" s="52"/>
      <c r="F174" s="34"/>
      <c r="G174" s="55"/>
      <c r="H174" s="56"/>
      <c r="I174" s="56"/>
      <c r="J174" s="56"/>
      <c r="K174" s="52"/>
      <c r="L174" s="52"/>
      <c r="M174" s="52"/>
      <c r="N174" s="57"/>
      <c r="O174" s="58"/>
      <c r="P174" s="59"/>
      <c r="Q174" s="34"/>
      <c r="R174" s="1"/>
      <c r="S174" s="60"/>
    </row>
    <row r="175" spans="1:19" s="35" customFormat="1" x14ac:dyDescent="0.2">
      <c r="A175" s="35" t="s">
        <v>249</v>
      </c>
      <c r="B175" s="52"/>
      <c r="C175" s="53"/>
      <c r="D175" s="54"/>
      <c r="E175" s="52"/>
      <c r="F175" s="34"/>
      <c r="G175" s="55"/>
      <c r="H175" s="56"/>
      <c r="I175" s="56"/>
      <c r="J175" s="56"/>
      <c r="K175" s="52"/>
      <c r="L175" s="52"/>
      <c r="M175" s="52"/>
      <c r="N175" s="57"/>
      <c r="O175" s="58"/>
      <c r="P175" s="59"/>
      <c r="Q175" s="34"/>
      <c r="R175" s="1"/>
      <c r="S175" s="60"/>
    </row>
    <row r="176" spans="1:19" s="35" customFormat="1" x14ac:dyDescent="0.2">
      <c r="A176" s="35" t="s">
        <v>248</v>
      </c>
      <c r="B176" s="52"/>
      <c r="C176" s="53"/>
      <c r="D176" s="54"/>
      <c r="E176" s="52"/>
      <c r="F176" s="34"/>
      <c r="G176" s="55"/>
      <c r="H176" s="56"/>
      <c r="I176" s="56"/>
      <c r="J176" s="56"/>
      <c r="K176" s="52"/>
      <c r="L176" s="52"/>
      <c r="M176" s="52"/>
      <c r="N176" s="57"/>
      <c r="O176" s="58"/>
      <c r="P176" s="59"/>
      <c r="Q176" s="34"/>
      <c r="R176" s="1"/>
      <c r="S176" s="60"/>
    </row>
    <row r="177" spans="1:19" s="35" customFormat="1" x14ac:dyDescent="0.2">
      <c r="A177" s="35" t="s">
        <v>250</v>
      </c>
      <c r="B177" s="52"/>
      <c r="C177" s="53"/>
      <c r="D177" s="54"/>
      <c r="E177" s="52"/>
      <c r="F177" s="34"/>
      <c r="G177" s="55"/>
      <c r="H177" s="56"/>
      <c r="I177" s="56"/>
      <c r="J177" s="56"/>
      <c r="K177" s="52"/>
      <c r="L177" s="52"/>
      <c r="M177" s="52"/>
      <c r="N177" s="57"/>
      <c r="O177" s="58"/>
      <c r="P177" s="59"/>
      <c r="Q177" s="34"/>
      <c r="R177" s="1"/>
      <c r="S177" s="60"/>
    </row>
    <row r="178" spans="1:19" s="35" customFormat="1" x14ac:dyDescent="0.2">
      <c r="B178" s="52"/>
      <c r="C178" s="53"/>
      <c r="D178" s="54"/>
      <c r="E178" s="52"/>
      <c r="F178" s="34"/>
      <c r="G178" s="55"/>
      <c r="H178" s="56"/>
      <c r="I178" s="56"/>
      <c r="J178" s="56"/>
      <c r="K178" s="52"/>
      <c r="L178" s="52"/>
      <c r="M178" s="52"/>
      <c r="N178" s="57"/>
      <c r="O178" s="58"/>
      <c r="P178" s="59"/>
      <c r="Q178" s="34"/>
      <c r="R178" s="1"/>
      <c r="S178" s="60"/>
    </row>
    <row r="179" spans="1:19" s="35" customFormat="1" x14ac:dyDescent="0.2">
      <c r="B179" s="52"/>
      <c r="C179" s="53"/>
      <c r="D179" s="54"/>
      <c r="E179" s="52"/>
      <c r="F179" s="34"/>
      <c r="G179" s="55"/>
      <c r="H179" s="56"/>
      <c r="I179" s="56"/>
      <c r="J179" s="56"/>
      <c r="K179" s="52"/>
      <c r="L179" s="52"/>
      <c r="M179" s="52"/>
      <c r="N179" s="57"/>
      <c r="O179" s="58"/>
      <c r="P179" s="59"/>
      <c r="Q179" s="34"/>
      <c r="R179" s="1"/>
      <c r="S179" s="60"/>
    </row>
    <row r="180" spans="1:19" s="99" customFormat="1" x14ac:dyDescent="0.2">
      <c r="A180" s="68"/>
      <c r="B180" s="94"/>
      <c r="C180" s="95"/>
      <c r="D180" s="88"/>
      <c r="E180" s="94"/>
      <c r="F180" s="68"/>
      <c r="G180" s="96"/>
      <c r="H180" s="97"/>
      <c r="I180" s="97"/>
      <c r="J180" s="97"/>
      <c r="K180" s="94"/>
      <c r="L180" s="94"/>
      <c r="M180" s="94"/>
      <c r="N180" s="98"/>
      <c r="O180" s="66"/>
      <c r="P180" s="67"/>
      <c r="Q180" s="68"/>
      <c r="R180" s="69"/>
      <c r="S180" s="70"/>
    </row>
    <row r="181" spans="1:19" s="99" customFormat="1" x14ac:dyDescent="0.2">
      <c r="A181" s="68"/>
      <c r="B181" s="94"/>
      <c r="C181" s="95"/>
      <c r="D181" s="88"/>
      <c r="E181" s="94"/>
      <c r="F181" s="68"/>
      <c r="G181" s="96"/>
      <c r="H181" s="97"/>
      <c r="I181" s="97"/>
      <c r="J181" s="97"/>
      <c r="K181" s="94"/>
      <c r="L181" s="94"/>
      <c r="M181" s="94"/>
      <c r="N181" s="98"/>
      <c r="O181" s="66"/>
      <c r="P181" s="67"/>
      <c r="Q181" s="68"/>
      <c r="R181" s="69"/>
      <c r="S181" s="70"/>
    </row>
    <row r="182" spans="1:19" s="99" customFormat="1" x14ac:dyDescent="0.2">
      <c r="A182" s="68"/>
      <c r="B182" s="94"/>
      <c r="C182" s="95"/>
      <c r="D182" s="88"/>
      <c r="E182" s="94"/>
      <c r="F182" s="68"/>
      <c r="G182" s="96"/>
      <c r="H182" s="97"/>
      <c r="I182" s="97"/>
      <c r="J182" s="97"/>
      <c r="K182" s="94"/>
      <c r="L182" s="94"/>
      <c r="M182" s="94"/>
      <c r="N182" s="98"/>
      <c r="O182" s="66"/>
      <c r="P182" s="67"/>
      <c r="Q182" s="68"/>
      <c r="R182" s="69"/>
      <c r="S182" s="70"/>
    </row>
    <row r="183" spans="1:19" s="99" customFormat="1" x14ac:dyDescent="0.2">
      <c r="A183" s="68"/>
      <c r="B183" s="94"/>
      <c r="C183" s="95"/>
      <c r="D183" s="88"/>
      <c r="E183" s="94"/>
      <c r="F183" s="68"/>
      <c r="G183" s="96"/>
      <c r="H183" s="97"/>
      <c r="I183" s="97"/>
      <c r="J183" s="97"/>
      <c r="K183" s="94"/>
      <c r="L183" s="94"/>
      <c r="M183" s="94"/>
      <c r="N183" s="98"/>
      <c r="O183" s="66"/>
      <c r="P183" s="67"/>
      <c r="Q183" s="68"/>
      <c r="R183" s="69"/>
      <c r="S183" s="70"/>
    </row>
    <row r="184" spans="1:19" s="99" customFormat="1" x14ac:dyDescent="0.2">
      <c r="A184" s="68"/>
      <c r="B184" s="94"/>
      <c r="C184" s="95"/>
      <c r="D184" s="88"/>
      <c r="E184" s="94"/>
      <c r="F184" s="68"/>
      <c r="G184" s="96"/>
      <c r="H184" s="97"/>
      <c r="I184" s="97"/>
      <c r="J184" s="97"/>
      <c r="K184" s="94"/>
      <c r="L184" s="94"/>
      <c r="M184" s="94"/>
      <c r="N184" s="98"/>
      <c r="O184" s="66"/>
      <c r="P184" s="67"/>
      <c r="Q184" s="68"/>
      <c r="R184" s="69"/>
      <c r="S184" s="70"/>
    </row>
    <row r="185" spans="1:19" s="99" customFormat="1" x14ac:dyDescent="0.2">
      <c r="A185" s="68"/>
      <c r="B185" s="94"/>
      <c r="C185" s="95"/>
      <c r="D185" s="88"/>
      <c r="E185" s="94"/>
      <c r="F185" s="68"/>
      <c r="G185" s="96"/>
      <c r="H185" s="97"/>
      <c r="I185" s="97"/>
      <c r="J185" s="97"/>
      <c r="K185" s="94"/>
      <c r="L185" s="94"/>
      <c r="M185" s="94"/>
      <c r="N185" s="98"/>
      <c r="O185" s="66"/>
      <c r="P185" s="67"/>
      <c r="Q185" s="68"/>
      <c r="R185" s="69"/>
      <c r="S185" s="70"/>
    </row>
    <row r="186" spans="1:19" s="99" customFormat="1" x14ac:dyDescent="0.2">
      <c r="A186" s="68"/>
      <c r="B186" s="94"/>
      <c r="C186" s="95"/>
      <c r="D186" s="88"/>
      <c r="E186" s="94"/>
      <c r="F186" s="68"/>
      <c r="G186" s="96"/>
      <c r="H186" s="97"/>
      <c r="I186" s="97"/>
      <c r="J186" s="97"/>
      <c r="K186" s="94"/>
      <c r="L186" s="94"/>
      <c r="M186" s="94"/>
      <c r="N186" s="98"/>
      <c r="O186" s="66"/>
      <c r="P186" s="67"/>
      <c r="Q186" s="68"/>
      <c r="R186" s="69"/>
      <c r="S186" s="70"/>
    </row>
    <row r="187" spans="1:19" s="99" customFormat="1" x14ac:dyDescent="0.2">
      <c r="A187" s="68"/>
      <c r="B187" s="94"/>
      <c r="C187" s="95"/>
      <c r="D187" s="88"/>
      <c r="E187" s="94"/>
      <c r="F187" s="68"/>
      <c r="G187" s="96"/>
      <c r="H187" s="97"/>
      <c r="I187" s="97"/>
      <c r="J187" s="97"/>
      <c r="K187" s="94"/>
      <c r="L187" s="94"/>
      <c r="M187" s="94"/>
      <c r="N187" s="98"/>
      <c r="O187" s="66"/>
      <c r="P187" s="67"/>
      <c r="Q187" s="68"/>
      <c r="R187" s="69"/>
      <c r="S187" s="70"/>
    </row>
    <row r="188" spans="1:19" s="99" customFormat="1" x14ac:dyDescent="0.2">
      <c r="A188" s="68"/>
      <c r="B188" s="94"/>
      <c r="C188" s="95"/>
      <c r="D188" s="88"/>
      <c r="E188" s="94"/>
      <c r="F188" s="68"/>
      <c r="G188" s="96"/>
      <c r="H188" s="97"/>
      <c r="I188" s="97"/>
      <c r="J188" s="97"/>
      <c r="K188" s="94"/>
      <c r="L188" s="94"/>
      <c r="M188" s="94"/>
      <c r="N188" s="98"/>
      <c r="O188" s="66"/>
      <c r="P188" s="67"/>
      <c r="Q188" s="68"/>
      <c r="R188" s="69"/>
      <c r="S188" s="70"/>
    </row>
    <row r="189" spans="1:19" s="99" customFormat="1" x14ac:dyDescent="0.2">
      <c r="A189" s="68"/>
      <c r="B189" s="94"/>
      <c r="C189" s="95"/>
      <c r="D189" s="88"/>
      <c r="E189" s="94"/>
      <c r="F189" s="68"/>
      <c r="G189" s="96"/>
      <c r="H189" s="97"/>
      <c r="I189" s="97"/>
      <c r="J189" s="97"/>
      <c r="K189" s="94"/>
      <c r="L189" s="94"/>
      <c r="M189" s="94"/>
      <c r="N189" s="98"/>
      <c r="O189" s="66"/>
      <c r="P189" s="67"/>
      <c r="Q189" s="68"/>
      <c r="R189" s="69"/>
      <c r="S189" s="70"/>
    </row>
    <row r="190" spans="1:19" s="99" customFormat="1" x14ac:dyDescent="0.2">
      <c r="A190" s="68"/>
      <c r="B190" s="94"/>
      <c r="C190" s="95"/>
      <c r="D190" s="88"/>
      <c r="E190" s="94"/>
      <c r="F190" s="68"/>
      <c r="G190" s="96"/>
      <c r="H190" s="97"/>
      <c r="I190" s="97"/>
      <c r="J190" s="97"/>
      <c r="K190" s="94"/>
      <c r="L190" s="94"/>
      <c r="M190" s="94"/>
      <c r="N190" s="98"/>
      <c r="O190" s="66"/>
      <c r="P190" s="67"/>
      <c r="Q190" s="68"/>
      <c r="R190" s="69"/>
      <c r="S190" s="70"/>
    </row>
    <row r="191" spans="1:19" s="99" customFormat="1" x14ac:dyDescent="0.2">
      <c r="A191" s="68"/>
      <c r="B191" s="94"/>
      <c r="C191" s="95"/>
      <c r="D191" s="88"/>
      <c r="E191" s="94"/>
      <c r="F191" s="68"/>
      <c r="G191" s="96"/>
      <c r="H191" s="97"/>
      <c r="I191" s="97"/>
      <c r="J191" s="97"/>
      <c r="K191" s="94"/>
      <c r="L191" s="94"/>
      <c r="M191" s="94"/>
      <c r="N191" s="98"/>
      <c r="O191" s="66"/>
      <c r="P191" s="67"/>
      <c r="Q191" s="68"/>
      <c r="R191" s="69"/>
      <c r="S191" s="70"/>
    </row>
    <row r="192" spans="1:19" s="99" customFormat="1" x14ac:dyDescent="0.2">
      <c r="A192" s="68"/>
      <c r="B192" s="94"/>
      <c r="C192" s="95"/>
      <c r="D192" s="88"/>
      <c r="E192" s="94"/>
      <c r="F192" s="68"/>
      <c r="G192" s="96"/>
      <c r="H192" s="97"/>
      <c r="I192" s="97"/>
      <c r="J192" s="97"/>
      <c r="K192" s="94"/>
      <c r="L192" s="94"/>
      <c r="M192" s="94"/>
      <c r="N192" s="98"/>
      <c r="O192" s="66"/>
      <c r="P192" s="67"/>
      <c r="Q192" s="68"/>
      <c r="R192" s="69"/>
      <c r="S192" s="70"/>
    </row>
    <row r="193" spans="1:19" s="99" customFormat="1" x14ac:dyDescent="0.2">
      <c r="A193" s="68"/>
      <c r="B193" s="94"/>
      <c r="C193" s="95"/>
      <c r="D193" s="88"/>
      <c r="E193" s="94"/>
      <c r="F193" s="68"/>
      <c r="G193" s="96"/>
      <c r="H193" s="97"/>
      <c r="I193" s="97"/>
      <c r="J193" s="97"/>
      <c r="K193" s="94"/>
      <c r="L193" s="94"/>
      <c r="M193" s="94"/>
      <c r="N193" s="98"/>
      <c r="O193" s="66"/>
      <c r="P193" s="67"/>
      <c r="Q193" s="68"/>
      <c r="R193" s="69"/>
      <c r="S193" s="70"/>
    </row>
    <row r="194" spans="1:19" s="99" customFormat="1" x14ac:dyDescent="0.2">
      <c r="A194" s="68"/>
      <c r="B194" s="94"/>
      <c r="C194" s="95"/>
      <c r="D194" s="88"/>
      <c r="E194" s="94"/>
      <c r="F194" s="68"/>
      <c r="G194" s="96"/>
      <c r="H194" s="97"/>
      <c r="I194" s="97"/>
      <c r="J194" s="97"/>
      <c r="K194" s="94"/>
      <c r="L194" s="94"/>
      <c r="M194" s="94"/>
      <c r="N194" s="98"/>
      <c r="O194" s="66"/>
      <c r="P194" s="67"/>
      <c r="Q194" s="68"/>
      <c r="R194" s="69"/>
      <c r="S194" s="70"/>
    </row>
    <row r="195" spans="1:19" s="99" customFormat="1" x14ac:dyDescent="0.2">
      <c r="A195" s="68"/>
      <c r="B195" s="94"/>
      <c r="C195" s="95"/>
      <c r="D195" s="88"/>
      <c r="E195" s="94"/>
      <c r="F195" s="68"/>
      <c r="G195" s="96"/>
      <c r="H195" s="97"/>
      <c r="I195" s="97"/>
      <c r="J195" s="97"/>
      <c r="K195" s="94"/>
      <c r="L195" s="94"/>
      <c r="M195" s="94"/>
      <c r="N195" s="98"/>
      <c r="O195" s="66"/>
      <c r="P195" s="67"/>
      <c r="Q195" s="68"/>
      <c r="R195" s="69"/>
      <c r="S195" s="70"/>
    </row>
    <row r="196" spans="1:19" x14ac:dyDescent="0.2">
      <c r="O196" s="54"/>
      <c r="P196" s="54"/>
      <c r="Q196" s="54"/>
      <c r="R196" s="100"/>
    </row>
    <row r="197" spans="1:19" x14ac:dyDescent="0.2">
      <c r="O197" s="54"/>
      <c r="P197" s="54"/>
      <c r="Q197" s="54"/>
      <c r="R197" s="100"/>
    </row>
    <row r="198" spans="1:19" x14ac:dyDescent="0.2">
      <c r="O198" s="54"/>
      <c r="P198" s="54"/>
      <c r="Q198" s="54"/>
      <c r="R198" s="100"/>
    </row>
    <row r="199" spans="1:19" x14ac:dyDescent="0.2">
      <c r="O199" s="54"/>
      <c r="P199" s="54"/>
      <c r="Q199" s="54"/>
      <c r="R199" s="100"/>
    </row>
    <row r="200" spans="1:19" x14ac:dyDescent="0.2">
      <c r="O200" s="54"/>
      <c r="P200" s="54"/>
      <c r="Q200" s="54"/>
      <c r="R200" s="100"/>
    </row>
    <row r="201" spans="1:19" x14ac:dyDescent="0.2">
      <c r="O201" s="54"/>
      <c r="P201" s="54"/>
      <c r="Q201" s="54"/>
      <c r="R201" s="100"/>
    </row>
    <row r="202" spans="1:19" x14ac:dyDescent="0.2">
      <c r="O202" s="54"/>
      <c r="P202" s="54"/>
      <c r="Q202" s="54"/>
      <c r="R202" s="100"/>
    </row>
    <row r="203" spans="1:19" x14ac:dyDescent="0.2">
      <c r="O203" s="54"/>
      <c r="P203" s="54"/>
      <c r="Q203" s="54"/>
      <c r="R203" s="100"/>
    </row>
    <row r="204" spans="1:19" x14ac:dyDescent="0.2">
      <c r="O204" s="54"/>
      <c r="P204" s="54"/>
      <c r="Q204" s="54"/>
      <c r="R204" s="100"/>
    </row>
    <row r="205" spans="1:19" x14ac:dyDescent="0.2">
      <c r="O205" s="54"/>
      <c r="P205" s="54"/>
      <c r="Q205" s="54"/>
      <c r="R205" s="100"/>
    </row>
    <row r="206" spans="1:19" x14ac:dyDescent="0.2">
      <c r="O206" s="54"/>
      <c r="P206" s="54"/>
      <c r="Q206" s="54"/>
      <c r="R206" s="100"/>
    </row>
    <row r="207" spans="1:19" x14ac:dyDescent="0.2">
      <c r="O207" s="54"/>
      <c r="P207" s="54"/>
      <c r="Q207" s="54"/>
      <c r="R207" s="100"/>
    </row>
    <row r="208" spans="1:19" x14ac:dyDescent="0.2">
      <c r="O208" s="54"/>
      <c r="P208" s="54"/>
      <c r="Q208" s="54"/>
      <c r="R208" s="100"/>
    </row>
    <row r="209" spans="15:18" x14ac:dyDescent="0.2">
      <c r="O209" s="54"/>
      <c r="P209" s="54"/>
      <c r="Q209" s="54"/>
      <c r="R209" s="100"/>
    </row>
    <row r="210" spans="15:18" x14ac:dyDescent="0.2">
      <c r="O210" s="54"/>
      <c r="P210" s="54"/>
      <c r="Q210" s="54"/>
      <c r="R210" s="100"/>
    </row>
  </sheetData>
  <sortState ref="A3:R116">
    <sortCondition descending="1" ref="N3:N116"/>
  </sortState>
  <printOptions horizontalCentered="1" verticalCentered="1"/>
  <pageMargins left="0.125" right="0.125" top="0.125" bottom="0.125" header="0" footer="0"/>
  <pageSetup paperSize="5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SSLink0</vt:lpstr>
      <vt:lpstr>SSLink1</vt:lpstr>
      <vt:lpstr>SSLink10</vt:lpstr>
      <vt:lpstr>SSLink11</vt:lpstr>
      <vt:lpstr>SSLink12</vt:lpstr>
      <vt:lpstr>SSLink2</vt:lpstr>
      <vt:lpstr>SSLink3</vt:lpstr>
      <vt:lpstr>SSLink4</vt:lpstr>
      <vt:lpstr>SSLink5</vt:lpstr>
      <vt:lpstr>SSLink6</vt:lpstr>
      <vt:lpstr>SSLink7</vt:lpstr>
      <vt:lpstr>SSLink8</vt:lpstr>
      <vt:lpstr>SSLink9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2012-12-16T20:46:59Z</dcterms:created>
  <dcterms:modified xsi:type="dcterms:W3CDTF">2022-05-28T14:33:43Z</dcterms:modified>
</cp:coreProperties>
</file>